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activeX/activeX11.xml" ContentType="application/vnd.ms-office.activeX+xml"/>
  <Override PartName="/xl/activeX/activeX11.bin" ContentType="application/vnd.ms-office.activeX"/>
  <Override PartName="/xl/activeX/activeX12.xml" ContentType="application/vnd.ms-office.activeX+xml"/>
  <Override PartName="/xl/activeX/activeX12.bin" ContentType="application/vnd.ms-office.activeX"/>
  <Override PartName="/xl/ctrlProps/ctrlProp1.xml" ContentType="application/vnd.ms-excel.controlproperties+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drawings/drawing6.xml" ContentType="application/vnd.openxmlformats-officedocument.drawing+xml"/>
  <Override PartName="/xl/charts/chart11.xml" ContentType="application/vnd.openxmlformats-officedocument.drawingml.chart+xml"/>
  <Override PartName="/xl/drawings/drawing7.xml" ContentType="application/vnd.openxmlformats-officedocument.drawing+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drawings/drawing9.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trlProps/ctrlProp2.xml" ContentType="application/vnd.ms-excel.controlproperties+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ml.chartshapes+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15.xml" ContentType="application/vnd.openxmlformats-officedocument.drawing+xml"/>
  <Override PartName="/xl/ctrlProps/ctrlProp3.xml" ContentType="application/vnd.ms-excel.controlproperties+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ml.chartshapes+xml"/>
  <Override PartName="/xl/drawings/drawing17.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omments1.xml" ContentType="application/vnd.openxmlformats-officedocument.spreadsheetml.comments+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C:\Users\brad.frost\Downloads\"/>
    </mc:Choice>
  </mc:AlternateContent>
  <xr:revisionPtr revIDLastSave="0" documentId="8_{BECFDE0D-B338-4F7E-84A3-7AFBCF77D23C}" xr6:coauthVersionLast="47" xr6:coauthVersionMax="47" xr10:uidLastSave="{00000000-0000-0000-0000-000000000000}"/>
  <bookViews>
    <workbookView xWindow="-110" yWindow="-110" windowWidth="19420" windowHeight="10420" tabRatio="812" xr2:uid="{3653B2B4-8705-4AFF-A3F7-55AFAF08E99B}"/>
  </bookViews>
  <sheets>
    <sheet name="Control" sheetId="1" r:id="rId1"/>
    <sheet name="CO2FFC" sheetId="11" r:id="rId2"/>
    <sheet name="IndirectCO2" sheetId="47089" r:id="rId3"/>
    <sheet name="Stationary" sheetId="16" r:id="rId4"/>
    <sheet name="Mobile Combustion" sheetId="25" r:id="rId5"/>
    <sheet name="Coal" sheetId="24" r:id="rId6"/>
    <sheet name="Gas and Oil" sheetId="21" r:id="rId7"/>
    <sheet name="IP" sheetId="19" r:id="rId8"/>
    <sheet name="Agriculture" sheetId="22" r:id="rId9"/>
    <sheet name="Forest Management" sheetId="27" r:id="rId10"/>
    <sheet name="Waste" sheetId="26" r:id="rId11"/>
    <sheet name="Wastewater" sheetId="28" r:id="rId12"/>
    <sheet name="Summary by Gas" sheetId="47084" r:id="rId13"/>
    <sheet name="Summary by Sector" sheetId="2" r:id="rId14"/>
    <sheet name="Gas Intensity" sheetId="47088" r:id="rId15"/>
    <sheet name="Population" sheetId="47086" r:id="rId16"/>
    <sheet name="GSP from BEA" sheetId="47087" r:id="rId17"/>
    <sheet name="Factors" sheetId="3960" r:id="rId18"/>
    <sheet name="Notes" sheetId="47085" r:id="rId19"/>
  </sheets>
  <externalReferences>
    <externalReference r:id="rId20"/>
  </externalReferences>
  <definedNames>
    <definedName name="_Order1" hidden="1">255</definedName>
    <definedName name="C_CO2">Factors!$C$12</definedName>
    <definedName name="CH4GWP">Factors!$C$6</definedName>
    <definedName name="ChartRange_Ag_Agricultural_Soil_Management">OFFSET(Agriculture!$C$8,0,0,1,MAX(Agriculture!$C$25:$AL$25))</definedName>
    <definedName name="ChartRange_Ag_Burning_of_Agricultural_Crop_Waste">OFFSET(Agriculture!$C$12,0,0,1,MAX(Agriculture!$C$25:$AL$25))</definedName>
    <definedName name="ChartRange_Ag_CH4_add">OFFSET(Agriculture!$C$14,0,0,1,MAX(Agriculture!$C$25:$AL$25))</definedName>
    <definedName name="ChartRange_Ag_CO2_add">OFFSET(Agriculture!$C$13,0,0,1,MAX(Agriculture!$C$25:$AL$25))</definedName>
    <definedName name="ChartRange_Ag_DirectN2O_Crop_Residues">OFFSET(Agriculture!$C$46,0,0,1,MAX(Agriculture!$C$57:$AL$57))</definedName>
    <definedName name="ChartRange_Ag_DirectN2O_Fertilizers">OFFSET(Agriculture!$C$45,0,0,1,MAX(Agriculture!$C$57:$AL$57))</definedName>
    <definedName name="ChartRange_Ag_DirectN2O_Histosols">OFFSET(Agriculture!$C$48,0,0,1,MAX(Agriculture!$C$57:$AL$57))</definedName>
    <definedName name="ChartRange_Ag_DirectN2O_Livestock">OFFSET(Agriculture!$C$49,0,0,1,MAX(Agriculture!$C$57:$AL$57))</definedName>
    <definedName name="ChartRange_Ag_DirectN2O_N_Fixing_Crops">OFFSET(Agriculture!$C$47,0,0,1,MAX(Agriculture!$C$57:$AL$57))</definedName>
    <definedName name="ChartRange_Ag_DirectN2O_Year">OFFSET(Agriculture!$C$43,0,0,1,MAX(Agriculture!$C$57:$AL$57))</definedName>
    <definedName name="ChartRange_Ag_Enteric_Fermentation">OFFSET(Agriculture!$C$6,0,0,1,MAX(Agriculture!$C$25:$AL$25))</definedName>
    <definedName name="ChartRange_Ag_IndirectN2O_Fertilizers">OFFSET(Agriculture!$C$51,0,0,1,MAX(Agriculture!$C$58:$AL$58))</definedName>
    <definedName name="ChartRange_Ag_IndirectN2O_Leaching_Runoff">OFFSET(Agriculture!$C$53,0,0,1,MAX(Agriculture!$C$58:$AL$58))</definedName>
    <definedName name="ChartRange_Ag_IndirectN2O_Livestock">OFFSET(Agriculture!$C$52,0,0,1,MAX(Agriculture!$C$58:$AL$58))</definedName>
    <definedName name="ChartRange_Ag_IndirectN2O_Year">OFFSET(Agriculture!$C$43,0,0,1,MAX(Agriculture!$C$58:$AL$58))</definedName>
    <definedName name="ChartRange_Ag_Liming">OFFSET(Agriculture!$C$10,0,0,1,MAX(Agriculture!$C$25:$AL$25))</definedName>
    <definedName name="ChartRange_Ag_Manure_Management">OFFSET(Agriculture!$C$7,0,0,1,MAX(Agriculture!$C$25:$AL$25))</definedName>
    <definedName name="ChartRange_Ag_N2O_add">OFFSET(Agriculture!$C$15,0,0,1,MAX(Agriculture!$C$25:$AL$25))</definedName>
    <definedName name="ChartRange_Ag_Rice_Cultivation">OFFSET(Agriculture!$C$9,0,0,1,MAX(Agriculture!$C$25:$AL$25))</definedName>
    <definedName name="ChartRange_Ag_Urea">OFFSET(Agriculture!$C$11,0,0,1,MAX(Agriculture!$C$25:$AL$25))</definedName>
    <definedName name="ChartRange_Ag_Year">OFFSET(Agriculture!$C$5,0,0,1,MAX(Agriculture!$C$25:$AL$25))</definedName>
    <definedName name="ChartRange_CH4_Aircraft">OFFSET('Mobile Combustion'!$C$73,0,0,1,MAX('Mobile Combustion'!$C$81:$AL$81))</definedName>
    <definedName name="ChartRange_CH4_Alternative_Fuel_Vehicles">OFFSET('Mobile Combustion'!$C$75,0,0,1,MAX('Mobile Combustion'!$C$81:$AL$81))</definedName>
    <definedName name="ChartRange_CH4_Boats">OFFSET('Mobile Combustion'!$C$69,0,0,1,MAX('Mobile Combustion'!$C$81:$AL$81))</definedName>
    <definedName name="ChartRange_CH4_Construction_Equipment">OFFSET('Mobile Combustion'!$C$72,0,0,1,MAX('Mobile Combustion'!$C$81:$AL$81))</definedName>
    <definedName name="ChartRange_CH4_Diesel_Highway">OFFSET('Mobile Combustion'!$C$63,0,0,1,MAX('Mobile Combustion'!$C$81:$AL$81))</definedName>
    <definedName name="ChartRange_CH4_Farm">OFFSET('Mobile Combustion'!$C$71,0,0,1,MAX('Mobile Combustion'!$C$81:$AL$81))</definedName>
    <definedName name="ChartRange_CH4_Gasoile_Highway">OFFSET('Mobile Combustion'!$C$58,0,0,1,MAX('Mobile Combustion'!$C$81:$AL$81))</definedName>
    <definedName name="ChartRange_CH4_Locomotives">OFFSET('Mobile Combustion'!$C$70,0,0,1,MAX('Mobile Combustion'!$C$81:$AL$81))</definedName>
    <definedName name="ChartRange_CH4_Non_Highway">OFFSET('Mobile Combustion'!$C$68,0,0,1,MAX('Mobile Combustion'!$C$81:$AL$81))</definedName>
    <definedName name="ChartRange_CH4_Other">OFFSET('Mobile Combustion'!$C$74,0,0,1,MAX('Mobile Combustion'!$C$81:$AL$81))</definedName>
    <definedName name="ChartRange_CH4_Year">OFFSET('Mobile Combustion'!$C$57,0,0,1,MAX('Mobile Combustion'!$C$81:$AL$81))</definedName>
    <definedName name="ChartRange_CH4N20_Aircraft">OFFSET('Mobile Combustion'!$C$20,0,0,1,MAX('Mobile Combustion'!$C$28:$AL$28))</definedName>
    <definedName name="ChartRange_CH4N20_Alternative_Fuel_Vehicles">OFFSET('Mobile Combustion'!$C$22,0,0,1,MAX('Mobile Combustion'!$C$28:$AL$28))</definedName>
    <definedName name="ChartRange_CH4N20_Boats">OFFSET('Mobile Combustion'!$C$16,0,0,1,MAX('Mobile Combustion'!$C$28:$AL$28))</definedName>
    <definedName name="ChartRange_CH4N20_Construction_Equipment">OFFSET('Mobile Combustion'!$C$19,0,0,1,MAX('Mobile Combustion'!$C$28:$AL$28))</definedName>
    <definedName name="ChartRange_CH4N20_Diesel_Highway">OFFSET('Mobile Combustion'!$C$10,0,0,1,MAX('Mobile Combustion'!$C$28:$AL$28))</definedName>
    <definedName name="ChartRange_CH4N20_Farm">OFFSET('Mobile Combustion'!$C$18,0,0,1,MAX('Mobile Combustion'!$C$28:$AL$28))</definedName>
    <definedName name="ChartRange_CH4N20_Gasoile_Highway">OFFSET('Mobile Combustion'!$C$5,0,0,1,MAX('Mobile Combustion'!$C$28:$AL$28))</definedName>
    <definedName name="ChartRange_CH4N20_Locomotives">OFFSET('Mobile Combustion'!$C$17,0,0,1,MAX('Mobile Combustion'!$C$28:$AL$28))</definedName>
    <definedName name="ChartRange_CH4N20_Non_Highway">OFFSET('Mobile Combustion'!$C$15,0,0,1,MAX('Mobile Combustion'!$C$28:$AL$28))</definedName>
    <definedName name="ChartRange_CH4N20_Other">OFFSET('Mobile Combustion'!$C$21,0,0,1,MAX('Mobile Combustion'!$C$28:$AL$28))</definedName>
    <definedName name="ChartRange_CH4N20_Year">OFFSET('Mobile Combustion'!$C$4,0,0,1,MAX('Mobile Combustion'!$A$28:$AL$28))</definedName>
    <definedName name="ChartRange_CO2_Alternative_Fuel">OFFSET('[1]CO2 Summary'!$D$23,0,0,1,MAX('[1]CO2 Summary'!$D$28:$AH$28))</definedName>
    <definedName name="ChartRange_CO2_Aviation">OFFSET('[1]CO2 Summary'!$D$19,0,0,1,MAX('[1]CO2 Summary'!$D$28:$AH$28))</definedName>
    <definedName name="ChartRange_CO2_Boats">OFFSET('[1]CO2 Summary'!$D$20,0,0,1,MAX('[1]CO2 Summary'!$D$28:$AH$28))</definedName>
    <definedName name="ChartRange_CO2_Diesel_Highway">OFFSET('[1]CO2 Summary'!$D$14,0,0,1,MAX('[1]CO2 Summary'!$D$28:$AH$28))</definedName>
    <definedName name="ChartRange_CO2_Gasoline_Highway">OFFSET('[1]CO2 Summary'!$D$9,0,0,1,MAX('[1]CO2 Summary'!$D$28:$AH$28))</definedName>
    <definedName name="ChartRange_CO2_Locomotives">OFFSET('[1]CO2 Summary'!$D$21,0,0,1,MAX('[1]CO2 Summary'!$D$28:$AH$28))</definedName>
    <definedName name="ChartRange_CO2_Other">OFFSET('[1]CO2 Summary'!$D$22,0,0,1,MAX('[1]CO2 Summary'!$D$28:$AH$28))</definedName>
    <definedName name="ChartRange_CO2_Year">OFFSET('[1]CO2 Summary'!$D$8,0,0,1,MAX('[1]CO2 Summary'!$D$28:$AH$28))</definedName>
    <definedName name="ChartRange_CO2FFC_Coal">OFFSET(CO2FFC!$C$32,0,0,1,MAX(CO2FFC!$C$38:$AL$38))</definedName>
    <definedName name="ChartRange_CO2FFC_Commercial">OFFSET(CO2FFC!$C$9,0,0,1,MAX(CO2FFC!$C$38:$AL$38))</definedName>
    <definedName name="ChartRange_CO2FFC_Electric_Utilities">OFFSET(CO2FFC!$C$24,0,0,1,MAX(CO2FFC!$C$38:$AL$38))</definedName>
    <definedName name="ChartRange_CO2FFC_Industrial">OFFSET(CO2FFC!$C$14,0,0,1,MAX(CO2FFC!$C$38:$AL$38))</definedName>
    <definedName name="ChartRange_CO2FFC_International_Bunker_Fuels">OFFSET(CO2FFC!$C$29,0,0,1,MAX(CO2FFC!$C$38:$AL$38))</definedName>
    <definedName name="ChartRange_CO2FFC_Natural_Gas">OFFSET(CO2FFC!$C$34,0,0,1,MAX(CO2FFC!$C$38:$AL$38))</definedName>
    <definedName name="ChartRange_CO2FFC_Other">OFFSET(CO2FFC!$C$35,0,0,1,MAX(CO2FFC!$C$38:$AL$38))</definedName>
    <definedName name="ChartRange_CO2FFC_Petroleum">OFFSET(CO2FFC!$C$33,0,0,1,MAX(CO2FFC!$C$38:$AL$38))</definedName>
    <definedName name="ChartRange_CO2FFC_Residential">OFFSET(CO2FFC!$C$4,0,0,1,MAX(CO2FFC!$C$38:$AL$38))</definedName>
    <definedName name="ChartRange_CO2FFC_Transportation">OFFSET(CO2FFC!$C$19,0,0,1,MAX(CO2FFC!$C$38:$AL$38))</definedName>
    <definedName name="ChartRange_CO2FFC_Year">OFFSET(CO2FFC!$C$3,0,0,1,MAX(CO2FFC!$C$38:$AL$38))</definedName>
    <definedName name="ChartRange_Coal_Abandoned_Coal_Mines">OFFSET(Coal!$C$6,0,0,1,MAX(Coal!$C$29:$AL$29))</definedName>
    <definedName name="ChartRange_Coal_Mining">OFFSET(Coal!$C$5,0,0,1,MAX(Coal!$C$29:$AL$29))</definedName>
    <definedName name="ChartRange_Coal_Year">OFFSET(Coal!$C$4,0,0,1,MAX(Coal!$C$29:$AL$29))</definedName>
    <definedName name="ChartRange_Forest_Aboveground_Biomass">OFFSET('Forest Management'!$C$11,0,0,1,MAX('Forest Management'!$C$57:$AL$57))</definedName>
    <definedName name="ChartRange_Forest_Agricultural_Soil_Carbon_Flux">OFFSET('Forest Management'!$C$50,0,0,1,MAX('Forest Management'!$C$57:$AL$57))</definedName>
    <definedName name="ChartRange_Forest_Belowground_Biomass">OFFSET('Forest Management'!$C$12,0,0,1,MAX('Forest Management'!$C$57:$AL$57))</definedName>
    <definedName name="ChartRange_Forest_Carbon_Flux">OFFSET('Forest Management'!$C$10,0,0,1,MAX('Forest Management'!$C$57:$AL$57))</definedName>
    <definedName name="ChartRange_Forest_Dead_Wood">OFFSET('Forest Management'!$C$13,0,0,1,MAX('Forest Management'!$C$57:$AL$57))</definedName>
    <definedName name="ChartRange_Forest_Forest_Fires">OFFSET('Forest Management'!$C$46,0,0,1,MAX('Forest Management'!$C$57:$AL$57))</definedName>
    <definedName name="ChartRange_Forest_Landfilled_Food_Scraps">OFFSET('Forest Management'!$C$45,0,0,1,MAX('Forest Management'!$C$57:$AL$57))</definedName>
    <definedName name="ChartRange_Forest_Landfilled_Yard_Trimmings_and_Food_Scraps">OFFSET('Forest Management'!$C$41,0,0,1,MAX('Forest Management'!$C$57:$AL$57))</definedName>
    <definedName name="ChartRange_Forest_Litter">OFFSET('Forest Management'!$C$14,0,0,1,MAX('Forest Management'!$C$57:$AL$57))</definedName>
    <definedName name="ChartRange_Forest_N2O_from_Settlement_Soils">OFFSET('Forest Management'!$C$49,0,0,1,MAX('Forest Management'!$C$57:$AL$57))</definedName>
    <definedName name="ChartRange_Forest_Soil_Organic_Carbon">OFFSET('Forest Management'!$C$15,0,0,1,MAX('Forest Management'!$C$57:$AL$57))</definedName>
    <definedName name="ChartRange_Forest_Total_Wood_products_and_landfills">OFFSET('Forest Management'!$C$18,0,0,1,MAX('Forest Management'!$C$57:$AL$57))</definedName>
    <definedName name="ChartRange_Forest_Urban_Trees">OFFSET('Forest Management'!$C$40,0,0,1,MAX('Forest Management'!$C$57:$AL$57))</definedName>
    <definedName name="ChartRange_Forest_Year">OFFSET('Forest Management'!$C$9,0,0,1,MAX('Forest Management'!$C$57:$AL$57))</definedName>
    <definedName name="ChartRange_GasIntensity_EmissionsperCapita_Gross_Emissions_Intensity">OFFSET('Gas Intensity'!$C$6,0,0,1,MAX('Gas Intensity'!$C$8:$AL$8))</definedName>
    <definedName name="ChartRange_GasIntensity_EmissionsperGSP_Gross_Emissions_Intensity">OFFSET('Gas Intensity'!$C$11,0,0,1,MAX('Gas Intensity'!$C$8:$AL$8))</definedName>
    <definedName name="ChartRange_GasIntensity_Year">OFFSET('Gas Intensity'!$C$5,0,0,1,MAX('Gas Intensity'!$C$8:$AL$8))</definedName>
    <definedName name="ChartRange_GasOil_Natural_Gas">OFFSET('Gas and Oil'!$C$5,0,0,1,MAX('Gas and Oil'!$C$27:$AL$27))</definedName>
    <definedName name="ChartRange_GasOil_Oil">OFFSET('Gas and Oil'!$C$6,0,0,1,MAX('Gas and Oil'!$C$27:$AL$27))</definedName>
    <definedName name="ChartRange_GasOil_Year">OFFSET('Gas and Oil'!$C$4,0,0,1,MAX('Gas and Oil'!$C$27:$AL$27))</definedName>
    <definedName name="ChartRange_IndirectCO2_Commercial">OFFSET(IndirectCO2!$C$50,0,0,1,MAX(IndirectCO2!$C$55:$AL$55))</definedName>
    <definedName name="ChartRange_IndirectCO2_Industrial">OFFSET(IndirectCO2!$C$51,0,0,1,MAX(IndirectCO2!$C$55:$AL$55))</definedName>
    <definedName name="ChartRange_IndirectCO2_Residential">OFFSET(IndirectCO2!$C$49,0,0,1,MAX(IndirectCO2!$C$55:$AL$55))</definedName>
    <definedName name="ChartRange_IndirectCO2_Transportation">OFFSET(IndirectCO2!$C$52,0,0,1,MAX(IndirectCO2!$C$55:$AL$55))</definedName>
    <definedName name="ChartRange_IndirectCO2_Year">OFFSET(IndirectCO2!$C$3,0,0,1,MAX(IndirectCO2!$C$55:$AL$55))</definedName>
    <definedName name="ChartRange_IP_Adipic_Acid_Production">OFFSET(IP!$C$15,0,0,1,MAX(IP!$C$27:$AL$27))</definedName>
    <definedName name="ChartRange_IP_Aluminum_Production">OFFSET(IP!$C$22,0,0,1,MAX(IP!$C$27:$AL$27))</definedName>
    <definedName name="ChartRange_IP_Aluminum_Production_CO2">OFFSET(IP!$C$9,0,0,1,MAX(IP!$C$27:$AL$27))</definedName>
    <definedName name="ChartRange_IP_Ammonia_Production">OFFSET(IP!$C$11,0,0,1,MAX(IP!$C$27:$AL$27))</definedName>
    <definedName name="ChartRange_IP_Carbon_Dioxide_Emissions">OFFSET(IP!$C$4,0,0,1,MAX(IP!$C$27:$AL$27))</definedName>
    <definedName name="ChartRange_IP_Cement_Manufacture">OFFSET(IP!$C$5,0,0,1,MAX(IP!$C$27:$AL$27))</definedName>
    <definedName name="ChartRange_IP_Electric_Systems">OFFSET(IP!$C$20,0,0,1,MAX(IP!$C$27:$AL$27))</definedName>
    <definedName name="ChartRange_IP_HCFC_22_Production">OFFSET(IP!$C$21,0,0,1,MAX(IP!$C$27:$AL$27))</definedName>
    <definedName name="ChartRange_IP_HFC__PFC__and_SF6_Emissions">OFFSET(IP!$C$16,0,0,1,MAX(IP!$C$27:$AL$27))</definedName>
    <definedName name="ChartRange_IP_Iron_Steel_Production">OFFSET(IP!$C$10,0,0,1,MAX(IP!$C$27:$AL$27))</definedName>
    <definedName name="ChartRange_IP_Lime_Manufacture">OFFSET(IP!$C$6,0,0,1,MAX(IP!$C$27:$AL$27))</definedName>
    <definedName name="ChartRange_IP_Limestone_and_Dolomite_Use">OFFSET(IP!$C$7,0,0,1,MAX(IP!$C$27:$AL$27))</definedName>
    <definedName name="ChartRange_IP_Magnesium_Production">OFFSET(IP!$C$19,0,0,1,MAX(IP!$C$27:$AL$27))</definedName>
    <definedName name="ChartRange_IP_Nitric_Acid_Production">OFFSET(IP!$C$14,0,0,1,MAX(IP!$C$27:$AL$27))</definedName>
    <definedName name="ChartRange_IP_Nitrous_Oxide_Emissions">OFFSET(IP!$C$13,0,0,1,MAX(IP!$C$27:$AL$27))</definedName>
    <definedName name="ChartRange_IP_ODS_Substitutes">OFFSET(IP!$C$17,0,0,1,MAX(IP!$C$27:$AL$27))</definedName>
    <definedName name="ChartRange_IP_Semiconductor_Manufacturing">OFFSET(IP!$C$18,0,0,1,MAX(IP!$C$27:$AL$27))</definedName>
    <definedName name="ChartRange_IP_Soda_Ash">OFFSET(IP!$C$8,0,0,1,MAX(IP!$C$27:$AL$27))</definedName>
    <definedName name="ChartRange_IP_Urea_Consumption">OFFSET(IP!$C$12,0,0,1,MAX(IP!$C$27:$AL$27))</definedName>
    <definedName name="ChartRange_IP_Year">OFFSET(IP!$C$3,0,0,1,MAX(IP!$C$27:$AL$27))</definedName>
    <definedName name="ChartRange_N2O_Aircraft">OFFSET('Mobile Combustion'!$C$101,0,0,1,MAX('Mobile Combustion'!$C$110:$AL$110))</definedName>
    <definedName name="ChartRange_N2O_Alternative_Fuel_Vehicles">OFFSET('Mobile Combustion'!$C$103,0,0,1,MAX('Mobile Combustion'!$C$110:$AL$110))</definedName>
    <definedName name="ChartRange_N2O_Boats">OFFSET('Mobile Combustion'!$C$97,0,0,1,MAX('Mobile Combustion'!$C$110:$AL$110))</definedName>
    <definedName name="ChartRange_N2O_Construction_Equipment">OFFSET('Mobile Combustion'!$C$100,0,0,1,MAX('Mobile Combustion'!$C$110:$AL$110))</definedName>
    <definedName name="ChartRange_N2O_Diesel_Highway">OFFSET('Mobile Combustion'!$C$91,0,0,1,MAX('Mobile Combustion'!$C$110:$AL$110))</definedName>
    <definedName name="ChartRange_N2O_Farm">OFFSET('Mobile Combustion'!$C$99,0,0,1,MAX('Mobile Combustion'!$C$110:$AL$110))</definedName>
    <definedName name="ChartRange_N2O_Gasoile_Highway">OFFSET('Mobile Combustion'!$C$86,0,0,1,MAX('Mobile Combustion'!$C$110:$AL$110))</definedName>
    <definedName name="ChartRange_N2O_Locomotives">OFFSET('Mobile Combustion'!$C$98,0,0,1,MAX('Mobile Combustion'!$C$110:$AL$110))</definedName>
    <definedName name="ChartRange_N2O_Non_Highway">OFFSET('Mobile Combustion'!$C$96,0,0,1,MAX('Mobile Combustion'!$C$110:$AL$110))</definedName>
    <definedName name="ChartRange_N2O_Other">OFFSET('Mobile Combustion'!$C$102,0,0,1,MAX('Mobile Combustion'!$C$110:$AL$110))</definedName>
    <definedName name="ChartRange_N2O_Year">OFFSET('Mobile Combustion'!$C$85,0,0,1,MAX('Mobile Combustion'!$C$110:$AL$110))</definedName>
    <definedName name="ChartRange_Stationary_Commercial">OFFSET(Stationary!$C$7,0,0,1,MAX(Stationary!$C$22:$AL$22))</definedName>
    <definedName name="ChartRange_Stationary_Electric_Utilities">OFFSET(Stationary!$C$13,0,0,1,MAX(Stationary!$C$22:$AL$22))</definedName>
    <definedName name="ChartRange_Stationary_Industrial">OFFSET(Stationary!$C$10,0,0,1,MAX(Stationary!$C$22:$AL$22))</definedName>
    <definedName name="ChartRange_Stationary_Residential">OFFSET(Stationary!$C$4,0,0,1,MAX(Stationary!$C$22:$AL$22))</definedName>
    <definedName name="ChartRange_Stationary_Year">OFFSET(Stationary!$C$3,0,0,1,MAX(Stationary!$C$22:$AL$22))</definedName>
    <definedName name="ChartRange_Summary_Agriculture">OFFSET('Summary by Sector'!$C$12,0,0,1,MAX('Summary by Sector'!$C$22:$AL$22))</definedName>
    <definedName name="ChartRange_Summary_Energy">OFFSET('Summary by Sector'!$C$5,0,0,1,MAX('Summary by Sector'!$C$22:$AL$22))</definedName>
    <definedName name="ChartRange_Summary_Energy__no_CO2FFC">OFFSET('Summary by Sector'!$C$102,0,0,1,MAX('Summary by Sector'!$C$22:$AL$22))</definedName>
    <definedName name="ChartRange_Summary_Industrial_Processes">OFFSET('Summary by Sector'!$C$11,0,0,1,MAX('Summary by Sector'!$C$22:$AL$22))</definedName>
    <definedName name="ChartRange_Summary_LULUCF">OFFSET('Summary by Sector'!$C$13,0,0,1,MAX('Summary by Sector'!$C$22:$AL$22))</definedName>
    <definedName name="ChartRange_Summary_Waste">OFFSET('Summary by Sector'!$C$14,0,0,1,MAX('Summary by Sector'!$C$22:$AL$22))</definedName>
    <definedName name="ChartRange_Summary_Year">OFFSET('Summary by Sector'!$C$4,0,0,1,MAX('Summary by Sector'!$C$22:$AL$22))</definedName>
    <definedName name="ChartRange_SummaryGas_Agriculture">OFFSET('Summary by Gas'!$C$10,0,0,1,MAX('Summary by Gas'!$C$37:$AL$37))</definedName>
    <definedName name="ChartRange_SummaryGas_CH4">OFFSET('Summary by Gas'!$C$12,0,0,1,MAX('Summary by Gas'!$C$37:$AL$37))</definedName>
    <definedName name="ChartRange_SummaryGas_CH4_Burning_of_Agricultural_Crop_Waste">OFFSET('Summary by Gas'!#REF!,0,0,1,MAX('Summary by Gas'!$C$37:$AL$37))</definedName>
    <definedName name="ChartRange_SummaryGas_CH4_Coal_Mining">OFFSET('Summary by Gas'!$C$15,0,0,1,MAX('Summary by Gas'!$C$37:$AL$37))</definedName>
    <definedName name="ChartRange_SummaryGas_CH4_Enteric_Fermentation">OFFSET('Summary by Gas'!$C$17,0,0,1,MAX('Summary by Gas'!$C$37:$AL$37))</definedName>
    <definedName name="ChartRange_SummaryGas_CH4_Forest_Fires">OFFSET('Summary by Gas'!#REF!,0,0,1,MAX('Summary by Gas'!$C$37:$AL$37))</definedName>
    <definedName name="ChartRange_SummaryGas_CH4_Manure_Management">OFFSET('Summary by Gas'!$C$18,0,0,1,MAX('Summary by Gas'!$C$37:$AL$37))</definedName>
    <definedName name="ChartRange_SummaryGas_CH4_Mobile_Combustion">OFFSET('Summary by Gas'!$C$14,0,0,1,MAX('Summary by Gas'!$C$37:$AL$37))</definedName>
    <definedName name="ChartRange_SummaryGas_CH4_Natural_Gas_and_Oil_Systems">OFFSET('Summary by Gas'!$C$16,0,0,1,MAX('Summary by Gas'!$C$37:$AL$37))</definedName>
    <definedName name="ChartRange_SummaryGas_CH4_Rice_Cultivation">OFFSET('Summary by Gas'!#REF!,0,0,1,MAX('Summary by Gas'!$C$37:$AL$37))</definedName>
    <definedName name="ChartRange_SummaryGas_CH4_Stationary_Combustion">OFFSET('Summary by Gas'!$C$13,0,0,1,MAX('Summary by Gas'!$C$37:$AL$37))</definedName>
    <definedName name="ChartRange_SummaryGas_CH4_Waste">OFFSET('Summary by Gas'!$C$19,0,0,1,MAX('Summary by Gas'!$C$37:$AL$37))</definedName>
    <definedName name="ChartRange_SummaryGas_CH4_Wastewater">OFFSET('Summary by Gas'!$C$20,0,0,1,MAX('Summary by Gas'!$C$37:$AL$37))</definedName>
    <definedName name="ChartRange_SummaryGas_CO2_from_Fossil_Fuel_Combustion">OFFSET('Summary by Gas'!$C$7,0,0,1,MAX('Summary by Gas'!$C$37:$AL$37))</definedName>
    <definedName name="ChartRange_SummaryGas_Gross_CO2">OFFSET('Summary by Gas'!$C$5,0,0,1,MAX('Summary by Gas'!$C$37:$AL$37))</definedName>
    <definedName name="ChartRange_SummaryGas_HFC__PFC__and_SF6">OFFSET('Summary by Gas'!$C$29,0,0,1,MAX('Summary by Gas'!$C$37:$AL$37))</definedName>
    <definedName name="ChartRange_SummaryGas_Industrial_Processes">OFFSET('Summary by Gas'!$C$8,0,0,1,MAX('Summary by Gas'!$C$37:$AL$37))</definedName>
    <definedName name="ChartRange_SummaryGas_LULUCF">OFFSET('Summary by Gas'!$C$11,0,0,1,MAX('Summary by Gas'!$C$37:$AL$37))</definedName>
    <definedName name="ChartRange_SummaryGas_N2O">OFFSET('Summary by Gas'!$C$21,0,0,1,MAX('Summary by Gas'!$C$37:$AL$37))</definedName>
    <definedName name="ChartRange_SummaryGas_N2O_Agricultural_Soil_Management">OFFSET('Summary by Gas'!$C$26,0,0,1,MAX('Summary by Gas'!$C$37:$AL$37))</definedName>
    <definedName name="ChartRange_SummaryGas_N2O_Burning_of_Agricultural_Crop_Waste">OFFSET('Summary by Gas'!#REF!,0,0,1,MAX('Summary by Gas'!$C$37:$AL$37))</definedName>
    <definedName name="ChartRange_SummaryGas_N2O_Forest_Fires">OFFSET('Summary by Gas'!#REF!,0,0,1,MAX('Summary by Gas'!$C$37:$AL$37))</definedName>
    <definedName name="ChartRange_SummaryGas_N2O_from_Settlement_Soils">OFFSET('Summary by Gas'!#REF!,0,0,1,MAX('Summary by Gas'!$C$37:$AL$37))</definedName>
    <definedName name="ChartRange_SummaryGas_N2O_Industrial_Processes">OFFSET('Summary by Gas'!$C$24,0,0,1,MAX('Summary by Gas'!$C$37:$AL$37))</definedName>
    <definedName name="ChartRange_SummaryGas_N2O_Manure_Management">OFFSET('Summary by Gas'!$C$25,0,0,1,MAX('Summary by Gas'!$C$37:$AL$37))</definedName>
    <definedName name="ChartRange_SummaryGas_N2O_Mobile_Combustion">OFFSET('Summary by Gas'!$C$23,0,0,1,MAX('Summary by Gas'!$C$37:$AL$37))</definedName>
    <definedName name="ChartRange_SummaryGas_N2O_Stationary_Combustion">OFFSET('Summary by Gas'!$C$22,0,0,1,MAX('Summary by Gas'!$C$37:$AL$37))</definedName>
    <definedName name="ChartRange_SummaryGas_N2O_Waste">OFFSET('Summary by Gas'!$C$27,0,0,1,MAX('Summary by Gas'!$C$37:$AL$37))</definedName>
    <definedName name="ChartRange_SummaryGas_N2O_Wastewater">OFFSET('Summary by Gas'!$C$28,0,0,1,MAX('Summary by Gas'!$C$37:$AL$37))</definedName>
    <definedName name="ChartRange_SummaryGas_Waste">OFFSET('Summary by Gas'!$C$9,0,0,1,MAX('Summary by Gas'!$C$37:$AL$37))</definedName>
    <definedName name="ChartRange_SummaryGas_Year">OFFSET('Summary by Gas'!$C$4,0,0,1,MAX('Summary by Gas'!$C$37:$AL$37))</definedName>
    <definedName name="ChartRange_Waste_CH4">OFFSET(Waste!$C$5,0,0,1,MAX(Waste!$C$34:$AL$34))</definedName>
    <definedName name="ChartRange_Waste_CH4_from_Waste_Combustion">OFFSET(Waste!$C$32,0,0,1,MAX(Waste!$C$34:$AL$34))</definedName>
    <definedName name="ChartRange_Waste_CO2">OFFSET(Waste!$C$6,0,0,1,MAX(Waste!$C$34:$AL$34))</definedName>
    <definedName name="ChartRange_Waste_CO2_from_Waste_Combustion">OFFSET(Waste!$C$27,0,0,1,MAX(Waste!$C$34:$AL$34))</definedName>
    <definedName name="ChartRange_Waste_N2O">OFFSET(Waste!$C$7,0,0,1,MAX(Waste!$C$34:$AL$34))</definedName>
    <definedName name="ChartRange_Waste_N2O_from_Waste_Combustion">OFFSET(Waste!$C$31,0,0,1,MAX(Waste!$C$34:$AL$34))</definedName>
    <definedName name="ChartRange_Waste_Plastics">OFFSET(Waste!$C$28,0,0,1,MAX(Waste!$C$34:$AL$34))</definedName>
    <definedName name="ChartRange_Waste_Synthetic_Fibers">OFFSET(Waste!$C$30,0,0,1,MAX(Waste!$C$34:$AL$34))</definedName>
    <definedName name="ChartRange_Waste_Synthetic_Rubber_in_MSW">OFFSET(Waste!$C$29,0,0,1,MAX(Waste!$C$34:$AL$34))</definedName>
    <definedName name="ChartRange_Waste_Total_CH4_Emissions_from_Landfiils">OFFSET(Waste!$C$23,0,0,1,MAX(Waste!$C$34:$AL$34))</definedName>
    <definedName name="ChartRange_Waste_Year">OFFSET(Waste!$C$4,0,0,1,MAX(Waste!$C$34:$AL$34))</definedName>
    <definedName name="ChartRange_Wastewater_Fruits_Vegetables">OFFSET(Wastewater!$C$8,0,0,1,MAX(Wastewater!$C$24:$AL$24))</definedName>
    <definedName name="ChartRange_Wastewater_Industrial_CH4">OFFSET(Wastewater!$C$7,0,0,1,MAX(Wastewater!$C$24:$AL$24))</definedName>
    <definedName name="ChartRange_Wastewater_Municipal_CH4">OFFSET(Wastewater!$C$5,0,0,1,MAX(Wastewater!$C$24:$AL$24))</definedName>
    <definedName name="ChartRange_Wastewater_Municipal_N2O">OFFSET(Wastewater!$C$6,0,0,1,MAX(Wastewater!$C$24:$AL$24))</definedName>
    <definedName name="ChartRange_Wastewater_Poultry">OFFSET(Wastewater!$C$10,0,0,1,MAX(Wastewater!$C$24:$AL$24))</definedName>
    <definedName name="ChartRange_Wastewater_Pulp_Paper">OFFSET(Wastewater!$C$11,0,0,1,MAX(Wastewater!$C$24:$AL$24))</definedName>
    <definedName name="ChartRange_Wastewater_Red_Meat">OFFSET(Wastewater!$C$9,0,0,1,MAX(Wastewater!$C$24:$AL$24))</definedName>
    <definedName name="ChartRange_Wastewater_Year">OFFSET(Wastewater!$C$4,0,0,1,MAX(Wastewater!$C$24:$AL$24))</definedName>
    <definedName name="CO2_C">Factors!$C$11</definedName>
    <definedName name="CoalInputRange">Coal!$C$5:$AL$9</definedName>
    <definedName name="data" xml:space="preserve">        Control!$H$18</definedName>
    <definedName name="GasPieYear">'Summary by Gas'!$K$42</definedName>
    <definedName name="HTML1_1" hidden="1">#N/A</definedName>
    <definedName name="HTML1_10" hidden="1">""</definedName>
    <definedName name="HTML1_11" hidden="1">1</definedName>
    <definedName name="HTML1_12" hidden="1">#N/A</definedName>
    <definedName name="HTML1_2" hidden="1">1</definedName>
    <definedName name="HTML1_3" hidden="1">#N/A</definedName>
    <definedName name="HTML1_4" hidden="1">#N/A</definedName>
    <definedName name="HTML1_5" hidden="1">""</definedName>
    <definedName name="HTML1_6" hidden="1">1</definedName>
    <definedName name="HTML1_7" hidden="1">1</definedName>
    <definedName name="HTML1_8" hidden="1">"3/14/96"</definedName>
    <definedName name="HTML1_9" hidden="1">"Lloyd E Phillips"</definedName>
    <definedName name="HTMLCount" hidden="1">1</definedName>
    <definedName name="LUCFdatarange">'Forest Management'!$C$10:$AL$46</definedName>
    <definedName name="N2OGWP">Factors!$C$7</definedName>
    <definedName name="OilGasInputRange">'Gas and Oil'!$C$20:$AL$26</definedName>
    <definedName name="PopGrid">Population!$B$4:$AK$54</definedName>
    <definedName name="SectorPieYear">'Summary by Sector'!$J$26</definedName>
    <definedName name="StateChoice">Factors!$I$3</definedName>
    <definedName name="StateID">Factors!$K$3</definedName>
    <definedName name="StateList">Factors!$J$4:$J$55</definedName>
    <definedName name="StateName">Factors!$J$3</definedName>
    <definedName name="UFactor">Factors!$C$15</definedName>
    <definedName name="Units">Factors!$C$16</definedName>
    <definedName name="UnitsOption">Control!$A$25</definedName>
    <definedName name="VersionDate">Factors!$C$20</definedName>
    <definedName name="VersionNumber">Factors!$C$19</definedName>
    <definedName name="WasteInputRange1">Waste!$C$16:$AL$22</definedName>
    <definedName name="WasteInputRange2">Waste!$C$28:$AL$32</definedName>
  </definedNames>
  <calcPr calcId="191028" calcOnSave="0"/>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8" i="24" l="1"/>
  <c r="AK28" i="24"/>
  <c r="AJ28" i="24"/>
  <c r="AI28" i="24"/>
  <c r="AH28" i="24"/>
  <c r="AG28" i="24"/>
  <c r="AH56" i="47087"/>
  <c r="AI56" i="47087" s="1"/>
  <c r="AJ56" i="47087" s="1"/>
  <c r="AK56" i="47087" s="1"/>
  <c r="AG56" i="47087"/>
  <c r="AG56" i="47086"/>
  <c r="AH56" i="47086"/>
  <c r="AI56" i="47086"/>
  <c r="AJ56" i="47086"/>
  <c r="AK56" i="47086"/>
  <c r="AG5" i="47086"/>
  <c r="AH5" i="47086" s="1"/>
  <c r="AI5" i="47086" s="1"/>
  <c r="AJ5" i="47086" s="1"/>
  <c r="AK5" i="47086" s="1"/>
  <c r="AG6" i="47086"/>
  <c r="AH6" i="47086"/>
  <c r="AI6" i="47086"/>
  <c r="AJ6" i="47086" s="1"/>
  <c r="AK6" i="47086" s="1"/>
  <c r="AG7" i="47086"/>
  <c r="AH7" i="47086"/>
  <c r="AI7" i="47086" s="1"/>
  <c r="AJ7" i="47086" s="1"/>
  <c r="AK7" i="47086" s="1"/>
  <c r="AG8" i="47086"/>
  <c r="AH8" i="47086" s="1"/>
  <c r="AI8" i="47086" s="1"/>
  <c r="AJ8" i="47086" s="1"/>
  <c r="AK8" i="47086" s="1"/>
  <c r="AG9" i="47086"/>
  <c r="AH9" i="47086" s="1"/>
  <c r="AI9" i="47086" s="1"/>
  <c r="AJ9" i="47086" s="1"/>
  <c r="AK9" i="47086" s="1"/>
  <c r="AG10" i="47086"/>
  <c r="AH10" i="47086"/>
  <c r="AI10" i="47086"/>
  <c r="AJ10" i="47086" s="1"/>
  <c r="AK10" i="47086" s="1"/>
  <c r="AG11" i="47086"/>
  <c r="AH11" i="47086"/>
  <c r="AI11" i="47086" s="1"/>
  <c r="AJ11" i="47086" s="1"/>
  <c r="AK11" i="47086" s="1"/>
  <c r="AG12" i="47086"/>
  <c r="AH12" i="47086" s="1"/>
  <c r="AI12" i="47086" s="1"/>
  <c r="AJ12" i="47086" s="1"/>
  <c r="AK12" i="47086" s="1"/>
  <c r="AG13" i="47086"/>
  <c r="AH13" i="47086"/>
  <c r="AI13" i="47086"/>
  <c r="AJ13" i="47086"/>
  <c r="AK13" i="47086" s="1"/>
  <c r="AG14" i="47086"/>
  <c r="AH14" i="47086"/>
  <c r="AI14" i="47086"/>
  <c r="AJ14" i="47086" s="1"/>
  <c r="AK14" i="47086" s="1"/>
  <c r="AG15" i="47086"/>
  <c r="AH15" i="47086"/>
  <c r="AI15" i="47086" s="1"/>
  <c r="AJ15" i="47086" s="1"/>
  <c r="AK15" i="47086" s="1"/>
  <c r="AG16" i="47086"/>
  <c r="AH16" i="47086" s="1"/>
  <c r="AI16" i="47086" s="1"/>
  <c r="AJ16" i="47086" s="1"/>
  <c r="AK16" i="47086" s="1"/>
  <c r="AG17" i="47086"/>
  <c r="AH17" i="47086" s="1"/>
  <c r="AI17" i="47086" s="1"/>
  <c r="AJ17" i="47086" s="1"/>
  <c r="AK17" i="47086" s="1"/>
  <c r="AG18" i="47086"/>
  <c r="AH18" i="47086"/>
  <c r="AI18" i="47086"/>
  <c r="AJ18" i="47086" s="1"/>
  <c r="AK18" i="47086" s="1"/>
  <c r="AG19" i="47086"/>
  <c r="AH19" i="47086"/>
  <c r="AI19" i="47086" s="1"/>
  <c r="AJ19" i="47086" s="1"/>
  <c r="AK19" i="47086" s="1"/>
  <c r="AG20" i="47086"/>
  <c r="AH20" i="47086" s="1"/>
  <c r="AI20" i="47086" s="1"/>
  <c r="AJ20" i="47086" s="1"/>
  <c r="AK20" i="47086" s="1"/>
  <c r="AG21" i="47086"/>
  <c r="AH21" i="47086"/>
  <c r="AI21" i="47086"/>
  <c r="AJ21" i="47086"/>
  <c r="AK21" i="47086" s="1"/>
  <c r="AG22" i="47086"/>
  <c r="AH22" i="47086"/>
  <c r="AI22" i="47086"/>
  <c r="AJ22" i="47086" s="1"/>
  <c r="AK22" i="47086" s="1"/>
  <c r="AG23" i="47086"/>
  <c r="AH23" i="47086"/>
  <c r="AI23" i="47086" s="1"/>
  <c r="AJ23" i="47086" s="1"/>
  <c r="AK23" i="47086" s="1"/>
  <c r="AG24" i="47086"/>
  <c r="AH24" i="47086" s="1"/>
  <c r="AI24" i="47086" s="1"/>
  <c r="AJ24" i="47086" s="1"/>
  <c r="AK24" i="47086" s="1"/>
  <c r="AG25" i="47086"/>
  <c r="AH25" i="47086" s="1"/>
  <c r="AI25" i="47086" s="1"/>
  <c r="AJ25" i="47086" s="1"/>
  <c r="AK25" i="47086" s="1"/>
  <c r="AG26" i="47086"/>
  <c r="AH26" i="47086"/>
  <c r="AI26" i="47086"/>
  <c r="AJ26" i="47086" s="1"/>
  <c r="AK26" i="47086" s="1"/>
  <c r="AG27" i="47086"/>
  <c r="AH27" i="47086"/>
  <c r="AI27" i="47086" s="1"/>
  <c r="AJ27" i="47086" s="1"/>
  <c r="AK27" i="47086" s="1"/>
  <c r="AG28" i="47086"/>
  <c r="AH28" i="47086" s="1"/>
  <c r="AI28" i="47086" s="1"/>
  <c r="AJ28" i="47086" s="1"/>
  <c r="AK28" i="47086" s="1"/>
  <c r="AG29" i="47086"/>
  <c r="AH29" i="47086"/>
  <c r="AI29" i="47086"/>
  <c r="AJ29" i="47086"/>
  <c r="AK29" i="47086" s="1"/>
  <c r="AG30" i="47086"/>
  <c r="AH30" i="47086"/>
  <c r="AI30" i="47086"/>
  <c r="AJ30" i="47086" s="1"/>
  <c r="AK30" i="47086" s="1"/>
  <c r="AG31" i="47086"/>
  <c r="AH31" i="47086"/>
  <c r="AI31" i="47086" s="1"/>
  <c r="AJ31" i="47086" s="1"/>
  <c r="AK31" i="47086" s="1"/>
  <c r="AG32" i="47086"/>
  <c r="AH32" i="47086" s="1"/>
  <c r="AI32" i="47086" s="1"/>
  <c r="AJ32" i="47086" s="1"/>
  <c r="AK32" i="47086" s="1"/>
  <c r="AG33" i="47086"/>
  <c r="AH33" i="47086" s="1"/>
  <c r="AI33" i="47086" s="1"/>
  <c r="AJ33" i="47086" s="1"/>
  <c r="AK33" i="47086" s="1"/>
  <c r="AG34" i="47086"/>
  <c r="AH34" i="47086" s="1"/>
  <c r="AI34" i="47086" s="1"/>
  <c r="AJ34" i="47086" s="1"/>
  <c r="AK34" i="47086" s="1"/>
  <c r="AG35" i="47086"/>
  <c r="AH35" i="47086"/>
  <c r="AI35" i="47086" s="1"/>
  <c r="AJ35" i="47086" s="1"/>
  <c r="AK35" i="47086" s="1"/>
  <c r="AG36" i="47086"/>
  <c r="AH36" i="47086" s="1"/>
  <c r="AI36" i="47086" s="1"/>
  <c r="AJ36" i="47086" s="1"/>
  <c r="AK36" i="47086" s="1"/>
  <c r="AG37" i="47086"/>
  <c r="AH37" i="47086"/>
  <c r="AI37" i="47086" s="1"/>
  <c r="AJ37" i="47086" s="1"/>
  <c r="AK37" i="47086" s="1"/>
  <c r="AG38" i="47086"/>
  <c r="AH38" i="47086"/>
  <c r="AI38" i="47086"/>
  <c r="AJ38" i="47086" s="1"/>
  <c r="AK38" i="47086" s="1"/>
  <c r="AG39" i="47086"/>
  <c r="AH39" i="47086"/>
  <c r="AI39" i="47086" s="1"/>
  <c r="AJ39" i="47086" s="1"/>
  <c r="AK39" i="47086" s="1"/>
  <c r="AG40" i="47086"/>
  <c r="AH40" i="47086" s="1"/>
  <c r="AI40" i="47086" s="1"/>
  <c r="AJ40" i="47086" s="1"/>
  <c r="AK40" i="47086" s="1"/>
  <c r="AG41" i="47086"/>
  <c r="AH41" i="47086" s="1"/>
  <c r="AI41" i="47086" s="1"/>
  <c r="AJ41" i="47086" s="1"/>
  <c r="AK41" i="47086" s="1"/>
  <c r="AG42" i="47086"/>
  <c r="AH42" i="47086" s="1"/>
  <c r="AI42" i="47086" s="1"/>
  <c r="AJ42" i="47086" s="1"/>
  <c r="AK42" i="47086" s="1"/>
  <c r="AG43" i="47086"/>
  <c r="AH43" i="47086"/>
  <c r="AI43" i="47086" s="1"/>
  <c r="AJ43" i="47086" s="1"/>
  <c r="AK43" i="47086" s="1"/>
  <c r="AG44" i="47086"/>
  <c r="AH44" i="47086" s="1"/>
  <c r="AI44" i="47086" s="1"/>
  <c r="AJ44" i="47086" s="1"/>
  <c r="AK44" i="47086" s="1"/>
  <c r="AG45" i="47086"/>
  <c r="AH45" i="47086"/>
  <c r="AI45" i="47086"/>
  <c r="AJ45" i="47086"/>
  <c r="AK45" i="47086" s="1"/>
  <c r="AG46" i="47086"/>
  <c r="AH46" i="47086"/>
  <c r="AI46" i="47086"/>
  <c r="AJ46" i="47086" s="1"/>
  <c r="AK46" i="47086" s="1"/>
  <c r="AG47" i="47086"/>
  <c r="AH47" i="47086"/>
  <c r="AI47" i="47086" s="1"/>
  <c r="AJ47" i="47086" s="1"/>
  <c r="AK47" i="47086" s="1"/>
  <c r="AG48" i="47086"/>
  <c r="AH48" i="47086" s="1"/>
  <c r="AI48" i="47086" s="1"/>
  <c r="AJ48" i="47086" s="1"/>
  <c r="AK48" i="47086" s="1"/>
  <c r="AG49" i="47086"/>
  <c r="AH49" i="47086" s="1"/>
  <c r="AI49" i="47086" s="1"/>
  <c r="AJ49" i="47086" s="1"/>
  <c r="AK49" i="47086" s="1"/>
  <c r="AG50" i="47086"/>
  <c r="AH50" i="47086" s="1"/>
  <c r="AI50" i="47086" s="1"/>
  <c r="AJ50" i="47086" s="1"/>
  <c r="AK50" i="47086" s="1"/>
  <c r="AG51" i="47086"/>
  <c r="AH51" i="47086"/>
  <c r="AI51" i="47086" s="1"/>
  <c r="AJ51" i="47086" s="1"/>
  <c r="AK51" i="47086" s="1"/>
  <c r="AG52" i="47086"/>
  <c r="AH52" i="47086" s="1"/>
  <c r="AI52" i="47086" s="1"/>
  <c r="AJ52" i="47086" s="1"/>
  <c r="AK52" i="47086" s="1"/>
  <c r="AG53" i="47086"/>
  <c r="AH53" i="47086"/>
  <c r="AI53" i="47086" s="1"/>
  <c r="AJ53" i="47086" s="1"/>
  <c r="AK53" i="47086" s="1"/>
  <c r="AG54" i="47086"/>
  <c r="AH54" i="47086"/>
  <c r="AI54" i="47086"/>
  <c r="AJ54" i="47086" s="1"/>
  <c r="AK54" i="47086" s="1"/>
  <c r="AH4" i="47086"/>
  <c r="AI4" i="47086" s="1"/>
  <c r="AJ4" i="47086" s="1"/>
  <c r="AK4" i="47086" s="1"/>
  <c r="AG4" i="47086"/>
  <c r="G16" i="1"/>
  <c r="G14" i="1"/>
  <c r="G15" i="1"/>
  <c r="C9" i="47088" l="1"/>
  <c r="C25" i="28"/>
  <c r="C26" i="22"/>
  <c r="C59" i="22"/>
  <c r="E31" i="24"/>
  <c r="F31" i="24" s="1"/>
  <c r="G31" i="24" s="1"/>
  <c r="H31" i="24" s="1"/>
  <c r="I31" i="24" s="1"/>
  <c r="J31" i="24" s="1"/>
  <c r="K31" i="24" s="1"/>
  <c r="L31" i="24" s="1"/>
  <c r="M31" i="24" s="1"/>
  <c r="N31" i="24" s="1"/>
  <c r="O31" i="24" s="1"/>
  <c r="P31" i="24" s="1"/>
  <c r="Q31" i="24" s="1"/>
  <c r="R31" i="24" s="1"/>
  <c r="S31" i="24" s="1"/>
  <c r="T31" i="24" s="1"/>
  <c r="U31" i="24" s="1"/>
  <c r="V31" i="24" s="1"/>
  <c r="W31" i="24" s="1"/>
  <c r="X31" i="24" s="1"/>
  <c r="Y31" i="24" s="1"/>
  <c r="Z31" i="24" s="1"/>
  <c r="AA31" i="24" s="1"/>
  <c r="AB31" i="24" s="1"/>
  <c r="AC31" i="24" s="1"/>
  <c r="AD31" i="24" s="1"/>
  <c r="AE31" i="24" s="1"/>
  <c r="AF31" i="24" s="1"/>
  <c r="AG31" i="24" s="1"/>
  <c r="AH31" i="24" s="1"/>
  <c r="AI31" i="24" s="1"/>
  <c r="AJ31" i="24" s="1"/>
  <c r="AK31" i="24" s="1"/>
  <c r="AL31" i="24" s="1"/>
  <c r="C111" i="25"/>
  <c r="C21" i="16"/>
  <c r="C54" i="47089"/>
  <c r="C37" i="11"/>
  <c r="AH9" i="2" l="1"/>
  <c r="AI9" i="2"/>
  <c r="AJ9" i="2"/>
  <c r="AK9" i="2"/>
  <c r="AL9" i="2"/>
  <c r="AJ10" i="47084"/>
  <c r="AL10" i="47084"/>
  <c r="AH15" i="47084"/>
  <c r="AI15" i="47084"/>
  <c r="AJ15" i="47084"/>
  <c r="AK15" i="47084"/>
  <c r="AL15" i="47084"/>
  <c r="AL17" i="47084"/>
  <c r="AH18" i="47084"/>
  <c r="AI18" i="47084"/>
  <c r="AJ18" i="47084"/>
  <c r="AK18" i="47084"/>
  <c r="AL18" i="47084"/>
  <c r="AH20" i="47084"/>
  <c r="AI20" i="47084"/>
  <c r="AJ20" i="47084"/>
  <c r="AK20" i="47084"/>
  <c r="AL20" i="47084"/>
  <c r="AJ25" i="47084"/>
  <c r="AH26" i="47084"/>
  <c r="AI26" i="47084"/>
  <c r="AJ26" i="47084"/>
  <c r="AK26" i="47084"/>
  <c r="AL26" i="47084"/>
  <c r="AH28" i="47084"/>
  <c r="AI28" i="47084"/>
  <c r="AJ28" i="47084"/>
  <c r="AK28" i="47084"/>
  <c r="AL28" i="47084"/>
  <c r="AH14" i="28"/>
  <c r="AH16" i="2" s="1"/>
  <c r="AI14" i="28"/>
  <c r="AI16" i="2" s="1"/>
  <c r="AJ14" i="28"/>
  <c r="AJ16" i="2" s="1"/>
  <c r="AK14" i="28"/>
  <c r="AK16" i="2" s="1"/>
  <c r="AL14" i="28"/>
  <c r="AL16" i="2" s="1"/>
  <c r="AH16" i="28"/>
  <c r="AI16" i="28"/>
  <c r="AJ16" i="28"/>
  <c r="AK16" i="28"/>
  <c r="AL16" i="28"/>
  <c r="AH17" i="28"/>
  <c r="AI17" i="28"/>
  <c r="AJ17" i="28"/>
  <c r="AK17" i="28"/>
  <c r="AL17" i="28"/>
  <c r="AH18" i="28"/>
  <c r="AI18" i="28"/>
  <c r="AJ18" i="28"/>
  <c r="AK18" i="28"/>
  <c r="AL18" i="28"/>
  <c r="AH19" i="28"/>
  <c r="AI19" i="28"/>
  <c r="AJ19" i="28"/>
  <c r="AK19" i="28"/>
  <c r="AL19" i="28"/>
  <c r="AH20" i="28"/>
  <c r="AI20" i="28"/>
  <c r="AJ20" i="28"/>
  <c r="AK20" i="28"/>
  <c r="AL20" i="28"/>
  <c r="AH21" i="28"/>
  <c r="AI21" i="28"/>
  <c r="AJ21" i="28"/>
  <c r="AK21" i="28"/>
  <c r="AL21" i="28"/>
  <c r="AH22" i="28"/>
  <c r="AI22" i="28"/>
  <c r="AJ22" i="28"/>
  <c r="AK22" i="28"/>
  <c r="AL22" i="28"/>
  <c r="AH7" i="26"/>
  <c r="AH27" i="47084" s="1"/>
  <c r="AI7" i="26"/>
  <c r="AI27" i="47084" s="1"/>
  <c r="AJ7" i="26"/>
  <c r="AJ27" i="47084" s="1"/>
  <c r="AK7" i="26"/>
  <c r="AK27" i="47084" s="1"/>
  <c r="AL7" i="26"/>
  <c r="AL27" i="47084" s="1"/>
  <c r="AH15" i="26"/>
  <c r="AH23" i="26" s="1"/>
  <c r="AH5" i="26" s="1"/>
  <c r="AH19" i="47084" s="1"/>
  <c r="AI15" i="26"/>
  <c r="AI23" i="26" s="1"/>
  <c r="AI5" i="26" s="1"/>
  <c r="AI19" i="47084" s="1"/>
  <c r="AJ15" i="26"/>
  <c r="AJ23" i="26" s="1"/>
  <c r="AJ5" i="26" s="1"/>
  <c r="AK15" i="26"/>
  <c r="AK23" i="26" s="1"/>
  <c r="AK5" i="26" s="1"/>
  <c r="AK19" i="47084" s="1"/>
  <c r="AL15" i="26"/>
  <c r="AL23" i="26" s="1"/>
  <c r="AL5" i="26" s="1"/>
  <c r="AL19" i="47084" s="1"/>
  <c r="AH27" i="26"/>
  <c r="AH33" i="26" s="1"/>
  <c r="AH35" i="26" s="1"/>
  <c r="AI27" i="26"/>
  <c r="AI33" i="26" s="1"/>
  <c r="AI35" i="26" s="1"/>
  <c r="AJ27" i="26"/>
  <c r="AJ33" i="26" s="1"/>
  <c r="AJ35" i="26" s="1"/>
  <c r="AK27" i="26"/>
  <c r="AK6" i="26" s="1"/>
  <c r="AK9" i="47084" s="1"/>
  <c r="AL27" i="26"/>
  <c r="AL6" i="26" s="1"/>
  <c r="AL9" i="47084" s="1"/>
  <c r="AH54" i="27"/>
  <c r="AH55" i="27" s="1"/>
  <c r="AI54" i="27"/>
  <c r="AI55" i="27" s="1"/>
  <c r="AJ54" i="27"/>
  <c r="AJ55" i="27" s="1"/>
  <c r="AK54" i="27"/>
  <c r="AK55" i="27" s="1"/>
  <c r="AL54" i="27"/>
  <c r="AL55" i="27" s="1"/>
  <c r="AH6" i="22"/>
  <c r="AH19" i="22" s="1"/>
  <c r="AI6" i="22"/>
  <c r="AI19" i="22" s="1"/>
  <c r="AJ6" i="22"/>
  <c r="AJ19" i="22" s="1"/>
  <c r="AK6" i="22"/>
  <c r="AL6" i="22"/>
  <c r="AH7" i="22"/>
  <c r="AI7" i="22"/>
  <c r="AI20" i="22" s="1"/>
  <c r="AJ7" i="22"/>
  <c r="AK7" i="22"/>
  <c r="AK20" i="22" s="1"/>
  <c r="AL7" i="22"/>
  <c r="AL20" i="22" s="1"/>
  <c r="AH8" i="22"/>
  <c r="AH21" i="22" s="1"/>
  <c r="AI8" i="22"/>
  <c r="AI21" i="22" s="1"/>
  <c r="AJ8" i="22"/>
  <c r="AJ21" i="22" s="1"/>
  <c r="AK8" i="22"/>
  <c r="AK21" i="22" s="1"/>
  <c r="AL8" i="22"/>
  <c r="AL21" i="22" s="1"/>
  <c r="AH9" i="22"/>
  <c r="AH22" i="22" s="1"/>
  <c r="AI9" i="22"/>
  <c r="AI22" i="22" s="1"/>
  <c r="AJ9" i="22"/>
  <c r="AJ22" i="22" s="1"/>
  <c r="AK9" i="22"/>
  <c r="AK22" i="22" s="1"/>
  <c r="AL9" i="22"/>
  <c r="AL22" i="22" s="1"/>
  <c r="AH10" i="22"/>
  <c r="AI10" i="22"/>
  <c r="AJ10" i="22"/>
  <c r="AK10" i="22"/>
  <c r="AL10" i="22"/>
  <c r="AH11" i="22"/>
  <c r="AI11" i="22"/>
  <c r="AJ11" i="22"/>
  <c r="AK11" i="22"/>
  <c r="AL11" i="22"/>
  <c r="AH12" i="22"/>
  <c r="AH23" i="22" s="1"/>
  <c r="AI12" i="22"/>
  <c r="AI23" i="22" s="1"/>
  <c r="AJ12" i="22"/>
  <c r="AJ23" i="22" s="1"/>
  <c r="AK12" i="22"/>
  <c r="AK23" i="22" s="1"/>
  <c r="AL12" i="22"/>
  <c r="AL23" i="22" s="1"/>
  <c r="AK19" i="22"/>
  <c r="AL19" i="22"/>
  <c r="AH10" i="47084"/>
  <c r="AI10" i="47084"/>
  <c r="AK10" i="47084"/>
  <c r="AH17" i="47084"/>
  <c r="AI17" i="47084"/>
  <c r="AJ17" i="47084"/>
  <c r="AK17" i="47084"/>
  <c r="AH25" i="47084"/>
  <c r="AI25" i="47084"/>
  <c r="AK25" i="47084"/>
  <c r="AL25" i="47084"/>
  <c r="AK59" i="22"/>
  <c r="AL59" i="22"/>
  <c r="AH60" i="22"/>
  <c r="AI60" i="22"/>
  <c r="AJ60" i="22"/>
  <c r="AK60" i="22"/>
  <c r="AH4" i="19"/>
  <c r="AH8" i="47084" s="1"/>
  <c r="AI4" i="19"/>
  <c r="AJ4" i="19"/>
  <c r="AK4" i="19"/>
  <c r="AK8" i="47084" s="1"/>
  <c r="AL4" i="19"/>
  <c r="AL8" i="47084" s="1"/>
  <c r="AH13" i="19"/>
  <c r="AH24" i="47084" s="1"/>
  <c r="AI13" i="19"/>
  <c r="AI24" i="47084" s="1"/>
  <c r="AJ13" i="19"/>
  <c r="AJ24" i="47084" s="1"/>
  <c r="AK13" i="19"/>
  <c r="AK24" i="47084" s="1"/>
  <c r="AL13" i="19"/>
  <c r="AH16" i="19"/>
  <c r="AH30" i="47084" s="1"/>
  <c r="AH29" i="47084" s="1"/>
  <c r="AH163" i="47084" s="1"/>
  <c r="AI16" i="19"/>
  <c r="AI30" i="47084" s="1"/>
  <c r="AI29" i="47084" s="1"/>
  <c r="AI163" i="47084" s="1"/>
  <c r="AJ16" i="19"/>
  <c r="AJ30" i="47084" s="1"/>
  <c r="AJ29" i="47084" s="1"/>
  <c r="AJ163" i="47084" s="1"/>
  <c r="AK16" i="19"/>
  <c r="AK30" i="47084" s="1"/>
  <c r="AK29" i="47084" s="1"/>
  <c r="AK163" i="47084" s="1"/>
  <c r="AL16" i="19"/>
  <c r="AL30" i="47084" s="1"/>
  <c r="AL29" i="47084" s="1"/>
  <c r="AL163" i="47084" s="1"/>
  <c r="AH6" i="21"/>
  <c r="AH13" i="21" s="1"/>
  <c r="AI6" i="21"/>
  <c r="AJ6" i="21"/>
  <c r="AK6" i="21"/>
  <c r="AK13" i="21" s="1"/>
  <c r="AL6" i="21"/>
  <c r="AL13" i="21" s="1"/>
  <c r="AH19" i="21"/>
  <c r="AH5" i="21" s="1"/>
  <c r="AI19" i="21"/>
  <c r="AI5" i="21" s="1"/>
  <c r="AI12" i="21" s="1"/>
  <c r="AJ19" i="21"/>
  <c r="AJ5" i="21" s="1"/>
  <c r="AJ12" i="21" s="1"/>
  <c r="AK19" i="21"/>
  <c r="AK5" i="21" s="1"/>
  <c r="AL19" i="21"/>
  <c r="AL5" i="21" s="1"/>
  <c r="AH14" i="24"/>
  <c r="AI14" i="24"/>
  <c r="AJ14" i="24"/>
  <c r="AK14" i="24"/>
  <c r="AL14" i="24"/>
  <c r="AH15" i="24"/>
  <c r="AI15" i="24"/>
  <c r="AJ15" i="24"/>
  <c r="AK15" i="24"/>
  <c r="AL15" i="24"/>
  <c r="AH16" i="24"/>
  <c r="AI16" i="24"/>
  <c r="AJ16" i="24"/>
  <c r="AK16" i="24"/>
  <c r="AL16" i="24"/>
  <c r="AH17" i="24"/>
  <c r="AI17" i="24"/>
  <c r="AJ17" i="24"/>
  <c r="AK17" i="24"/>
  <c r="AL17" i="24"/>
  <c r="AH18" i="24"/>
  <c r="AI18" i="24"/>
  <c r="AJ18" i="24"/>
  <c r="AK18" i="24"/>
  <c r="AL18" i="24"/>
  <c r="AH23" i="24"/>
  <c r="AI23" i="24"/>
  <c r="AJ23" i="24"/>
  <c r="AK23" i="24"/>
  <c r="AL23" i="24"/>
  <c r="AH24" i="24"/>
  <c r="AI24" i="24"/>
  <c r="AJ24" i="24"/>
  <c r="AK24" i="24"/>
  <c r="AL24" i="24"/>
  <c r="AH25" i="24"/>
  <c r="AI25" i="24"/>
  <c r="AJ25" i="24"/>
  <c r="AK25" i="24"/>
  <c r="AL25" i="24"/>
  <c r="AH26" i="24"/>
  <c r="AI26" i="24"/>
  <c r="AJ26" i="24"/>
  <c r="AK26" i="24"/>
  <c r="AL26" i="24"/>
  <c r="AH27" i="24"/>
  <c r="AI27" i="24"/>
  <c r="AJ27" i="24"/>
  <c r="AK27" i="24"/>
  <c r="AL27" i="24"/>
  <c r="AH80" i="25"/>
  <c r="AH83" i="25" s="1"/>
  <c r="AI80" i="25"/>
  <c r="AI83" i="25" s="1"/>
  <c r="AJ80" i="25"/>
  <c r="AJ83" i="25" s="1"/>
  <c r="AK80" i="25"/>
  <c r="AK83" i="25" s="1"/>
  <c r="AL80" i="25"/>
  <c r="AL83" i="25" s="1"/>
  <c r="AH108" i="25"/>
  <c r="AH111" i="25" s="1"/>
  <c r="AI108" i="25"/>
  <c r="AI111" i="25" s="1"/>
  <c r="AJ108" i="25"/>
  <c r="AJ111" i="25" s="1"/>
  <c r="AK108" i="25"/>
  <c r="AK111" i="25" s="1"/>
  <c r="AL108" i="25"/>
  <c r="AL111" i="25" s="1"/>
  <c r="AH26" i="25"/>
  <c r="AH27" i="25" s="1"/>
  <c r="AI26" i="25"/>
  <c r="AI27" i="25" s="1"/>
  <c r="AJ26" i="25"/>
  <c r="AJ27" i="25" s="1"/>
  <c r="AJ8" i="2" s="1"/>
  <c r="AK26" i="25"/>
  <c r="AK27" i="25" s="1"/>
  <c r="AK8" i="2" s="1"/>
  <c r="AL26" i="25"/>
  <c r="AL27" i="25" s="1"/>
  <c r="AL8" i="2" s="1"/>
  <c r="AH33" i="25"/>
  <c r="AI33" i="25"/>
  <c r="AJ33" i="25"/>
  <c r="AK33" i="25"/>
  <c r="AL33" i="25"/>
  <c r="AH34" i="25"/>
  <c r="AI34" i="25"/>
  <c r="AJ34" i="25"/>
  <c r="AK34" i="25"/>
  <c r="AL34" i="25"/>
  <c r="AH35" i="25"/>
  <c r="AI35" i="25"/>
  <c r="AJ35" i="25"/>
  <c r="AK35" i="25"/>
  <c r="AL35" i="25"/>
  <c r="AH36" i="25"/>
  <c r="AI36" i="25"/>
  <c r="AJ36" i="25"/>
  <c r="AK36" i="25"/>
  <c r="AL36" i="25"/>
  <c r="AH37" i="25"/>
  <c r="AI37" i="25"/>
  <c r="AJ37" i="25"/>
  <c r="AK37" i="25"/>
  <c r="AL37" i="25"/>
  <c r="AH38" i="25"/>
  <c r="AI38" i="25"/>
  <c r="AJ38" i="25"/>
  <c r="AK38" i="25"/>
  <c r="AL38" i="25"/>
  <c r="AH39" i="25"/>
  <c r="AI39" i="25"/>
  <c r="AJ39" i="25"/>
  <c r="AK39" i="25"/>
  <c r="AL39" i="25"/>
  <c r="AH40" i="25"/>
  <c r="AI40" i="25"/>
  <c r="AJ40" i="25"/>
  <c r="AK40" i="25"/>
  <c r="AL40" i="25"/>
  <c r="AH41" i="25"/>
  <c r="AI41" i="25"/>
  <c r="AJ41" i="25"/>
  <c r="AK41" i="25"/>
  <c r="AL41" i="25"/>
  <c r="AH42" i="25"/>
  <c r="AI42" i="25"/>
  <c r="AJ42" i="25"/>
  <c r="AK42" i="25"/>
  <c r="AL42" i="25"/>
  <c r="AH43" i="25"/>
  <c r="AI43" i="25"/>
  <c r="AJ43" i="25"/>
  <c r="AK43" i="25"/>
  <c r="AL43" i="25"/>
  <c r="AH44" i="25"/>
  <c r="AI44" i="25"/>
  <c r="AJ44" i="25"/>
  <c r="AK44" i="25"/>
  <c r="AL44" i="25"/>
  <c r="AH45" i="25"/>
  <c r="AI45" i="25"/>
  <c r="AJ45" i="25"/>
  <c r="AK45" i="25"/>
  <c r="AL45" i="25"/>
  <c r="AH46" i="25"/>
  <c r="AI46" i="25"/>
  <c r="AJ46" i="25"/>
  <c r="AK46" i="25"/>
  <c r="AL46" i="25"/>
  <c r="AH47" i="25"/>
  <c r="AI47" i="25"/>
  <c r="AJ47" i="25"/>
  <c r="AK47" i="25"/>
  <c r="AL47" i="25"/>
  <c r="AH48" i="25"/>
  <c r="AI48" i="25"/>
  <c r="AJ48" i="25"/>
  <c r="AK48" i="25"/>
  <c r="AL48" i="25"/>
  <c r="AH49" i="25"/>
  <c r="AI49" i="25"/>
  <c r="AJ49" i="25"/>
  <c r="AK49" i="25"/>
  <c r="AL49" i="25"/>
  <c r="AH50" i="25"/>
  <c r="AI50" i="25"/>
  <c r="AJ50" i="25"/>
  <c r="AK50" i="25"/>
  <c r="AL50" i="25"/>
  <c r="AH51" i="25"/>
  <c r="AI51" i="25"/>
  <c r="AJ51" i="25"/>
  <c r="AK51" i="25"/>
  <c r="AL51" i="25"/>
  <c r="AH52" i="25"/>
  <c r="AI52" i="25"/>
  <c r="AJ52" i="25"/>
  <c r="AK52" i="25"/>
  <c r="AL52" i="25"/>
  <c r="AH4" i="16"/>
  <c r="AI4" i="16"/>
  <c r="AJ4" i="16"/>
  <c r="AK4" i="16"/>
  <c r="AL4" i="16"/>
  <c r="AH7" i="16"/>
  <c r="AI7" i="16"/>
  <c r="AJ7" i="16"/>
  <c r="AK7" i="16"/>
  <c r="AL7" i="16"/>
  <c r="AH10" i="16"/>
  <c r="AI10" i="16"/>
  <c r="AJ10" i="16"/>
  <c r="AK10" i="16"/>
  <c r="AL10" i="16"/>
  <c r="AH13" i="16"/>
  <c r="AI13" i="16"/>
  <c r="AJ13" i="16"/>
  <c r="AK13" i="16"/>
  <c r="AL13" i="16"/>
  <c r="AH16" i="16"/>
  <c r="AH22" i="47084" s="1"/>
  <c r="AI16" i="16"/>
  <c r="AI22" i="47084" s="1"/>
  <c r="AJ16" i="16"/>
  <c r="AJ22" i="47084" s="1"/>
  <c r="AK16" i="16"/>
  <c r="AK22" i="47084" s="1"/>
  <c r="AL16" i="16"/>
  <c r="AL22" i="47084" s="1"/>
  <c r="AH17" i="16"/>
  <c r="AH13" i="47084" s="1"/>
  <c r="AI17" i="16"/>
  <c r="AI13" i="47084" s="1"/>
  <c r="AJ17" i="16"/>
  <c r="AJ13" i="47084" s="1"/>
  <c r="AK17" i="16"/>
  <c r="AK13" i="47084" s="1"/>
  <c r="AL17" i="16"/>
  <c r="AL13" i="47084" s="1"/>
  <c r="AH4" i="47089"/>
  <c r="AH49" i="47089" s="1"/>
  <c r="AI4" i="47089"/>
  <c r="AI49" i="47089" s="1"/>
  <c r="AJ4" i="47089"/>
  <c r="AJ49" i="47089" s="1"/>
  <c r="AK4" i="47089"/>
  <c r="AK49" i="47089" s="1"/>
  <c r="AL4" i="47089"/>
  <c r="AL49" i="47089" s="1"/>
  <c r="AH10" i="47089"/>
  <c r="AH50" i="47089" s="1"/>
  <c r="AI10" i="47089"/>
  <c r="AI50" i="47089" s="1"/>
  <c r="AJ10" i="47089"/>
  <c r="AJ50" i="47089" s="1"/>
  <c r="AK10" i="47089"/>
  <c r="AK50" i="47089" s="1"/>
  <c r="AL10" i="47089"/>
  <c r="AH21" i="47089"/>
  <c r="AH51" i="47089" s="1"/>
  <c r="AI21" i="47089"/>
  <c r="AI51" i="47089" s="1"/>
  <c r="AJ21" i="47089"/>
  <c r="AJ51" i="47089" s="1"/>
  <c r="AK21" i="47089"/>
  <c r="AK51" i="47089" s="1"/>
  <c r="AL21" i="47089"/>
  <c r="AL51" i="47089" s="1"/>
  <c r="AH38" i="47089"/>
  <c r="AH52" i="47089" s="1"/>
  <c r="AI38" i="47089"/>
  <c r="AI52" i="47089" s="1"/>
  <c r="AJ38" i="47089"/>
  <c r="AJ52" i="47089" s="1"/>
  <c r="AK38" i="47089"/>
  <c r="AK52" i="47089" s="1"/>
  <c r="AL38" i="47089"/>
  <c r="AL52" i="47089" s="1"/>
  <c r="AL50" i="47089"/>
  <c r="AL35" i="11"/>
  <c r="AL34" i="11"/>
  <c r="AL33" i="11"/>
  <c r="AL32" i="11"/>
  <c r="AL29" i="11"/>
  <c r="AL24" i="11"/>
  <c r="AL19" i="11"/>
  <c r="AL14" i="11"/>
  <c r="AL9" i="11"/>
  <c r="AL4" i="11"/>
  <c r="AK35" i="11"/>
  <c r="AK34" i="11"/>
  <c r="AK33" i="11"/>
  <c r="AK32" i="11"/>
  <c r="AK29" i="11"/>
  <c r="AK24" i="11"/>
  <c r="AK19" i="11"/>
  <c r="AK14" i="11"/>
  <c r="AK9" i="11"/>
  <c r="AK4" i="11"/>
  <c r="AJ35" i="11"/>
  <c r="AJ34" i="11"/>
  <c r="AJ33" i="11"/>
  <c r="AJ32" i="11"/>
  <c r="AJ29" i="11"/>
  <c r="AJ24" i="11"/>
  <c r="AJ19" i="11"/>
  <c r="AJ14" i="11"/>
  <c r="AJ9" i="11"/>
  <c r="AJ4" i="11"/>
  <c r="AI35" i="11"/>
  <c r="AI34" i="11"/>
  <c r="AI33" i="11"/>
  <c r="AI32" i="11"/>
  <c r="AI29" i="11"/>
  <c r="AI24" i="11"/>
  <c r="AI19" i="11"/>
  <c r="AI14" i="11"/>
  <c r="AI9" i="11"/>
  <c r="AI4" i="11"/>
  <c r="AH35" i="11"/>
  <c r="AH34" i="11"/>
  <c r="AH33" i="11"/>
  <c r="AH32" i="11"/>
  <c r="AH29" i="11"/>
  <c r="AH24" i="11"/>
  <c r="AH19" i="11"/>
  <c r="AH14" i="11"/>
  <c r="AH9" i="11"/>
  <c r="AH4" i="11"/>
  <c r="AH23" i="28" l="1"/>
  <c r="AH25" i="28" s="1"/>
  <c r="AL23" i="28"/>
  <c r="AL25" i="28" s="1"/>
  <c r="AK23" i="28"/>
  <c r="AK25" i="28" s="1"/>
  <c r="AK23" i="47084"/>
  <c r="AJ23" i="47084"/>
  <c r="AJ23" i="28"/>
  <c r="AJ25" i="28" s="1"/>
  <c r="AI20" i="16"/>
  <c r="AI21" i="16" s="1"/>
  <c r="AI23" i="28"/>
  <c r="AI25" i="28" s="1"/>
  <c r="AL23" i="47084"/>
  <c r="AK14" i="47084"/>
  <c r="AK20" i="16"/>
  <c r="AK21" i="16" s="1"/>
  <c r="AH20" i="16"/>
  <c r="AH21" i="16" s="1"/>
  <c r="AJ20" i="16"/>
  <c r="AJ21" i="16" s="1"/>
  <c r="AL20" i="16"/>
  <c r="AL21" i="16" s="1"/>
  <c r="AH23" i="47084"/>
  <c r="AH21" i="47084" s="1"/>
  <c r="AH162" i="47084" s="1"/>
  <c r="AI23" i="47084"/>
  <c r="AI21" i="47084" s="1"/>
  <c r="AI162" i="47084" s="1"/>
  <c r="AL14" i="47084"/>
  <c r="AJ14" i="47084"/>
  <c r="AI14" i="47084"/>
  <c r="AH14" i="47084"/>
  <c r="AI53" i="25"/>
  <c r="AI30" i="25"/>
  <c r="AH53" i="25"/>
  <c r="AH30" i="25"/>
  <c r="AL53" i="25"/>
  <c r="AL30" i="25"/>
  <c r="AJ53" i="25"/>
  <c r="AJ30" i="25"/>
  <c r="AI8" i="2"/>
  <c r="AK53" i="25"/>
  <c r="AK30" i="25"/>
  <c r="AH8" i="2"/>
  <c r="AL33" i="26"/>
  <c r="AL35" i="26" s="1"/>
  <c r="AJ48" i="47089"/>
  <c r="AJ54" i="47089" s="1"/>
  <c r="AI48" i="47089"/>
  <c r="AI54" i="47089" s="1"/>
  <c r="AI17" i="2"/>
  <c r="AI31" i="47084" s="1"/>
  <c r="AL48" i="47089"/>
  <c r="AL7" i="2"/>
  <c r="AL11" i="47084"/>
  <c r="AL33" i="47084" s="1"/>
  <c r="AH13" i="2"/>
  <c r="AK11" i="47084"/>
  <c r="AK33" i="47084" s="1"/>
  <c r="AJ11" i="47084"/>
  <c r="AJ33" i="47084" s="1"/>
  <c r="AI11" i="47084"/>
  <c r="AI33" i="47084" s="1"/>
  <c r="AH11" i="47084"/>
  <c r="AH33" i="47084" s="1"/>
  <c r="AL13" i="2"/>
  <c r="AK13" i="2"/>
  <c r="AJ13" i="2"/>
  <c r="AI13" i="2"/>
  <c r="AL26" i="19"/>
  <c r="AL28" i="19" s="1"/>
  <c r="AK26" i="19"/>
  <c r="AK28" i="19" s="1"/>
  <c r="AJ26" i="19"/>
  <c r="AJ28" i="19" s="1"/>
  <c r="AI26" i="19"/>
  <c r="AI28" i="19" s="1"/>
  <c r="AH26" i="19"/>
  <c r="AL24" i="47084"/>
  <c r="AJ8" i="47084"/>
  <c r="AI8" i="47084"/>
  <c r="AI31" i="11"/>
  <c r="AI37" i="11" s="1"/>
  <c r="AJ6" i="26"/>
  <c r="AJ9" i="47084" s="1"/>
  <c r="AJ56" i="22"/>
  <c r="AJ59" i="22"/>
  <c r="AL24" i="22"/>
  <c r="AI24" i="22"/>
  <c r="AL56" i="22"/>
  <c r="AL60" i="22"/>
  <c r="AI56" i="22"/>
  <c r="AI59" i="22"/>
  <c r="AH56" i="22"/>
  <c r="AH59" i="22"/>
  <c r="AJ16" i="22"/>
  <c r="AK24" i="22"/>
  <c r="AH16" i="22"/>
  <c r="AL16" i="22"/>
  <c r="AI16" i="22"/>
  <c r="AJ20" i="22"/>
  <c r="AJ24" i="22" s="1"/>
  <c r="AK16" i="22"/>
  <c r="AK56" i="22"/>
  <c r="AH20" i="22"/>
  <c r="AH24" i="22" s="1"/>
  <c r="AH31" i="11"/>
  <c r="AH37" i="11" s="1"/>
  <c r="AL31" i="11"/>
  <c r="AL37" i="11" s="1"/>
  <c r="AJ31" i="11"/>
  <c r="AJ37" i="11" s="1"/>
  <c r="AK31" i="11"/>
  <c r="AK37" i="11" s="1"/>
  <c r="AJ21" i="47084"/>
  <c r="AJ162" i="47084" s="1"/>
  <c r="AK21" i="47084"/>
  <c r="AK162" i="47084" s="1"/>
  <c r="AK33" i="26"/>
  <c r="AK35" i="26" s="1"/>
  <c r="AJ19" i="47084"/>
  <c r="AK11" i="26"/>
  <c r="AK15" i="2" s="1"/>
  <c r="AK14" i="2" s="1"/>
  <c r="AK109" i="2" s="1"/>
  <c r="AJ8" i="21"/>
  <c r="AJ28" i="21" s="1"/>
  <c r="AL11" i="26"/>
  <c r="AL15" i="2" s="1"/>
  <c r="AL14" i="2" s="1"/>
  <c r="AL109" i="2" s="1"/>
  <c r="AI6" i="26"/>
  <c r="AI9" i="47084" s="1"/>
  <c r="AH6" i="26"/>
  <c r="AL12" i="21"/>
  <c r="AL14" i="21" s="1"/>
  <c r="AL8" i="21"/>
  <c r="AL28" i="21" s="1"/>
  <c r="AK12" i="21"/>
  <c r="AK14" i="21" s="1"/>
  <c r="AK8" i="21"/>
  <c r="AK28" i="21" s="1"/>
  <c r="AI8" i="21"/>
  <c r="AI28" i="21" s="1"/>
  <c r="AH8" i="21"/>
  <c r="AH28" i="21" s="1"/>
  <c r="AH12" i="21"/>
  <c r="AH14" i="21" s="1"/>
  <c r="AJ13" i="21"/>
  <c r="AJ14" i="21" s="1"/>
  <c r="AI13" i="21"/>
  <c r="AI14" i="21" s="1"/>
  <c r="AH48" i="47089"/>
  <c r="AK48" i="47089"/>
  <c r="AG5" i="47087"/>
  <c r="AH5" i="47087" s="1"/>
  <c r="AI5" i="47087" s="1"/>
  <c r="AJ5" i="47087" s="1"/>
  <c r="AK5" i="47087" s="1"/>
  <c r="AG6" i="47087"/>
  <c r="AH6" i="47087" s="1"/>
  <c r="AI6" i="47087" s="1"/>
  <c r="AJ6" i="47087" s="1"/>
  <c r="AK6" i="47087" s="1"/>
  <c r="AG7" i="47087"/>
  <c r="AH7" i="47087" s="1"/>
  <c r="AI7" i="47087" s="1"/>
  <c r="AJ7" i="47087" s="1"/>
  <c r="AK7" i="47087" s="1"/>
  <c r="AG8" i="47087"/>
  <c r="AH8" i="47087" s="1"/>
  <c r="AI8" i="47087" s="1"/>
  <c r="AJ8" i="47087" s="1"/>
  <c r="AK8" i="47087" s="1"/>
  <c r="AG9" i="47087"/>
  <c r="AH9" i="47087" s="1"/>
  <c r="AI9" i="47087" s="1"/>
  <c r="AJ9" i="47087" s="1"/>
  <c r="AK9" i="47087" s="1"/>
  <c r="AG10" i="47087"/>
  <c r="AH10" i="47087" s="1"/>
  <c r="AI10" i="47087" s="1"/>
  <c r="AJ10" i="47087" s="1"/>
  <c r="AK10" i="47087" s="1"/>
  <c r="AG11" i="47087"/>
  <c r="AH11" i="47087" s="1"/>
  <c r="AI11" i="47087" s="1"/>
  <c r="AJ11" i="47087" s="1"/>
  <c r="AK11" i="47087" s="1"/>
  <c r="AG12" i="47087"/>
  <c r="AH12" i="47087" s="1"/>
  <c r="AI12" i="47087" s="1"/>
  <c r="AJ12" i="47087" s="1"/>
  <c r="AK12" i="47087" s="1"/>
  <c r="AG13" i="47087"/>
  <c r="AH13" i="47087" s="1"/>
  <c r="AI13" i="47087" s="1"/>
  <c r="AJ13" i="47087" s="1"/>
  <c r="AK13" i="47087" s="1"/>
  <c r="AG14" i="47087"/>
  <c r="AH14" i="47087" s="1"/>
  <c r="AI14" i="47087" s="1"/>
  <c r="AJ14" i="47087" s="1"/>
  <c r="AK14" i="47087" s="1"/>
  <c r="AG15" i="47087"/>
  <c r="AH15" i="47087" s="1"/>
  <c r="AI15" i="47087" s="1"/>
  <c r="AJ15" i="47087" s="1"/>
  <c r="AK15" i="47087" s="1"/>
  <c r="AG16" i="47087"/>
  <c r="AH16" i="47087" s="1"/>
  <c r="AI16" i="47087" s="1"/>
  <c r="AJ16" i="47087" s="1"/>
  <c r="AK16" i="47087" s="1"/>
  <c r="AG17" i="47087"/>
  <c r="AH17" i="47087" s="1"/>
  <c r="AI17" i="47087" s="1"/>
  <c r="AJ17" i="47087" s="1"/>
  <c r="AK17" i="47087" s="1"/>
  <c r="AG18" i="47087"/>
  <c r="AH18" i="47087" s="1"/>
  <c r="AI18" i="47087" s="1"/>
  <c r="AJ18" i="47087" s="1"/>
  <c r="AK18" i="47087" s="1"/>
  <c r="AG19" i="47087"/>
  <c r="AH19" i="47087" s="1"/>
  <c r="AI19" i="47087" s="1"/>
  <c r="AJ19" i="47087" s="1"/>
  <c r="AK19" i="47087" s="1"/>
  <c r="AG20" i="47087"/>
  <c r="AH20" i="47087" s="1"/>
  <c r="AI20" i="47087" s="1"/>
  <c r="AJ20" i="47087" s="1"/>
  <c r="AK20" i="47087" s="1"/>
  <c r="AG21" i="47087"/>
  <c r="AH21" i="47087" s="1"/>
  <c r="AI21" i="47087" s="1"/>
  <c r="AJ21" i="47087" s="1"/>
  <c r="AK21" i="47087" s="1"/>
  <c r="AG22" i="47087"/>
  <c r="AH22" i="47087" s="1"/>
  <c r="AI22" i="47087" s="1"/>
  <c r="AJ22" i="47087" s="1"/>
  <c r="AK22" i="47087" s="1"/>
  <c r="AG23" i="47087"/>
  <c r="AH23" i="47087" s="1"/>
  <c r="AI23" i="47087" s="1"/>
  <c r="AJ23" i="47087" s="1"/>
  <c r="AK23" i="47087" s="1"/>
  <c r="AG24" i="47087"/>
  <c r="AH24" i="47087" s="1"/>
  <c r="AI24" i="47087" s="1"/>
  <c r="AJ24" i="47087" s="1"/>
  <c r="AK24" i="47087" s="1"/>
  <c r="AG25" i="47087"/>
  <c r="AH25" i="47087" s="1"/>
  <c r="AI25" i="47087" s="1"/>
  <c r="AJ25" i="47087" s="1"/>
  <c r="AK25" i="47087" s="1"/>
  <c r="AG26" i="47087"/>
  <c r="AH26" i="47087" s="1"/>
  <c r="AI26" i="47087" s="1"/>
  <c r="AJ26" i="47087" s="1"/>
  <c r="AK26" i="47087" s="1"/>
  <c r="AG27" i="47087"/>
  <c r="AH27" i="47087" s="1"/>
  <c r="AI27" i="47087" s="1"/>
  <c r="AJ27" i="47087" s="1"/>
  <c r="AK27" i="47087" s="1"/>
  <c r="AG28" i="47087"/>
  <c r="AH28" i="47087" s="1"/>
  <c r="AI28" i="47087" s="1"/>
  <c r="AJ28" i="47087" s="1"/>
  <c r="AK28" i="47087" s="1"/>
  <c r="AG29" i="47087"/>
  <c r="AH29" i="47087" s="1"/>
  <c r="AI29" i="47087" s="1"/>
  <c r="AJ29" i="47087" s="1"/>
  <c r="AK29" i="47087" s="1"/>
  <c r="AG30" i="47087"/>
  <c r="AH30" i="47087" s="1"/>
  <c r="AI30" i="47087" s="1"/>
  <c r="AJ30" i="47087" s="1"/>
  <c r="AK30" i="47087" s="1"/>
  <c r="AG31" i="47087"/>
  <c r="AH31" i="47087" s="1"/>
  <c r="AI31" i="47087" s="1"/>
  <c r="AJ31" i="47087" s="1"/>
  <c r="AK31" i="47087" s="1"/>
  <c r="AG32" i="47087"/>
  <c r="AH32" i="47087" s="1"/>
  <c r="AI32" i="47087" s="1"/>
  <c r="AJ32" i="47087" s="1"/>
  <c r="AK32" i="47087" s="1"/>
  <c r="AG33" i="47087"/>
  <c r="AH33" i="47087" s="1"/>
  <c r="AI33" i="47087" s="1"/>
  <c r="AJ33" i="47087" s="1"/>
  <c r="AK33" i="47087" s="1"/>
  <c r="AG34" i="47087"/>
  <c r="AH34" i="47087" s="1"/>
  <c r="AI34" i="47087" s="1"/>
  <c r="AJ34" i="47087" s="1"/>
  <c r="AK34" i="47087" s="1"/>
  <c r="AG35" i="47087"/>
  <c r="AH35" i="47087" s="1"/>
  <c r="AI35" i="47087" s="1"/>
  <c r="AJ35" i="47087" s="1"/>
  <c r="AK35" i="47087" s="1"/>
  <c r="AG36" i="47087"/>
  <c r="AH36" i="47087" s="1"/>
  <c r="AI36" i="47087" s="1"/>
  <c r="AJ36" i="47087" s="1"/>
  <c r="AK36" i="47087" s="1"/>
  <c r="AG37" i="47087"/>
  <c r="AH37" i="47087" s="1"/>
  <c r="AI37" i="47087" s="1"/>
  <c r="AJ37" i="47087" s="1"/>
  <c r="AK37" i="47087" s="1"/>
  <c r="AG38" i="47087"/>
  <c r="AH38" i="47087" s="1"/>
  <c r="AI38" i="47087" s="1"/>
  <c r="AJ38" i="47087" s="1"/>
  <c r="AK38" i="47087" s="1"/>
  <c r="AG39" i="47087"/>
  <c r="AH39" i="47087" s="1"/>
  <c r="AI39" i="47087" s="1"/>
  <c r="AJ39" i="47087" s="1"/>
  <c r="AK39" i="47087" s="1"/>
  <c r="AG40" i="47087"/>
  <c r="AH40" i="47087" s="1"/>
  <c r="AI40" i="47087" s="1"/>
  <c r="AJ40" i="47087" s="1"/>
  <c r="AK40" i="47087" s="1"/>
  <c r="AG41" i="47087"/>
  <c r="AH41" i="47087" s="1"/>
  <c r="AI41" i="47087" s="1"/>
  <c r="AJ41" i="47087" s="1"/>
  <c r="AK41" i="47087" s="1"/>
  <c r="AG42" i="47087"/>
  <c r="AH42" i="47087" s="1"/>
  <c r="AI42" i="47087" s="1"/>
  <c r="AJ42" i="47087" s="1"/>
  <c r="AK42" i="47087" s="1"/>
  <c r="AG43" i="47087"/>
  <c r="AH43" i="47087" s="1"/>
  <c r="AI43" i="47087" s="1"/>
  <c r="AJ43" i="47087" s="1"/>
  <c r="AK43" i="47087" s="1"/>
  <c r="AG44" i="47087"/>
  <c r="AH44" i="47087" s="1"/>
  <c r="AI44" i="47087" s="1"/>
  <c r="AJ44" i="47087" s="1"/>
  <c r="AK44" i="47087" s="1"/>
  <c r="AG45" i="47087"/>
  <c r="AH45" i="47087" s="1"/>
  <c r="AI45" i="47087" s="1"/>
  <c r="AJ45" i="47087" s="1"/>
  <c r="AK45" i="47087" s="1"/>
  <c r="AG46" i="47087"/>
  <c r="AH46" i="47087" s="1"/>
  <c r="AI46" i="47087" s="1"/>
  <c r="AJ46" i="47087" s="1"/>
  <c r="AK46" i="47087" s="1"/>
  <c r="AG47" i="47087"/>
  <c r="AH47" i="47087" s="1"/>
  <c r="AI47" i="47087" s="1"/>
  <c r="AJ47" i="47087" s="1"/>
  <c r="AK47" i="47087" s="1"/>
  <c r="AG48" i="47087"/>
  <c r="AH48" i="47087" s="1"/>
  <c r="AI48" i="47087" s="1"/>
  <c r="AJ48" i="47087" s="1"/>
  <c r="AK48" i="47087" s="1"/>
  <c r="AG49" i="47087"/>
  <c r="AH49" i="47087" s="1"/>
  <c r="AI49" i="47087" s="1"/>
  <c r="AJ49" i="47087" s="1"/>
  <c r="AK49" i="47087" s="1"/>
  <c r="AG50" i="47087"/>
  <c r="AH50" i="47087" s="1"/>
  <c r="AI50" i="47087" s="1"/>
  <c r="AJ50" i="47087" s="1"/>
  <c r="AK50" i="47087" s="1"/>
  <c r="AG51" i="47087"/>
  <c r="AH51" i="47087" s="1"/>
  <c r="AI51" i="47087" s="1"/>
  <c r="AJ51" i="47087" s="1"/>
  <c r="AK51" i="47087" s="1"/>
  <c r="AG52" i="47087"/>
  <c r="AH52" i="47087" s="1"/>
  <c r="AI52" i="47087" s="1"/>
  <c r="AJ52" i="47087" s="1"/>
  <c r="AK52" i="47087" s="1"/>
  <c r="AG53" i="47087"/>
  <c r="AH53" i="47087" s="1"/>
  <c r="AI53" i="47087" s="1"/>
  <c r="AJ53" i="47087" s="1"/>
  <c r="AK53" i="47087" s="1"/>
  <c r="AG54" i="47087"/>
  <c r="AH54" i="47087" s="1"/>
  <c r="AI54" i="47087" s="1"/>
  <c r="AJ54" i="47087" s="1"/>
  <c r="AK54" i="47087" s="1"/>
  <c r="AG4" i="47087"/>
  <c r="AH4" i="47087" s="1"/>
  <c r="AI4" i="47087" s="1"/>
  <c r="AJ4" i="47087" s="1"/>
  <c r="AK4" i="47087" s="1"/>
  <c r="AI7" i="2" l="1"/>
  <c r="AH6" i="2"/>
  <c r="AL21" i="47084"/>
  <c r="AL162" i="47084" s="1"/>
  <c r="AI11" i="2"/>
  <c r="AI106" i="2" s="1"/>
  <c r="AK7" i="2"/>
  <c r="AH7" i="2"/>
  <c r="AK11" i="2"/>
  <c r="AK106" i="2" s="1"/>
  <c r="AL11" i="2"/>
  <c r="AL106" i="2" s="1"/>
  <c r="AJ11" i="2"/>
  <c r="AJ106" i="2" s="1"/>
  <c r="AJ7" i="2"/>
  <c r="AJ17" i="2"/>
  <c r="AJ31" i="47084" s="1"/>
  <c r="AL54" i="47089"/>
  <c r="AL17" i="2"/>
  <c r="AL31" i="47084" s="1"/>
  <c r="AK54" i="47089"/>
  <c r="AK17" i="2"/>
  <c r="AK31" i="47084" s="1"/>
  <c r="AH54" i="47089"/>
  <c r="AH17" i="2"/>
  <c r="AH31" i="47084" s="1"/>
  <c r="AK19" i="2"/>
  <c r="AK108" i="2"/>
  <c r="AL108" i="2"/>
  <c r="AL19" i="2"/>
  <c r="AI19" i="2"/>
  <c r="AI108" i="2"/>
  <c r="AH19" i="2"/>
  <c r="AH108" i="2"/>
  <c r="AJ19" i="2"/>
  <c r="AJ108" i="2"/>
  <c r="AH28" i="19"/>
  <c r="AH11" i="2"/>
  <c r="AH106" i="2" s="1"/>
  <c r="AJ12" i="2"/>
  <c r="AJ107" i="2" s="1"/>
  <c r="AJ26" i="22"/>
  <c r="AK12" i="2"/>
  <c r="AK107" i="2" s="1"/>
  <c r="AK26" i="22"/>
  <c r="AL12" i="2"/>
  <c r="AL107" i="2" s="1"/>
  <c r="AL26" i="22"/>
  <c r="AH12" i="2"/>
  <c r="AH107" i="2" s="1"/>
  <c r="AH26" i="22"/>
  <c r="AI12" i="2"/>
  <c r="AI107" i="2" s="1"/>
  <c r="AI26" i="22"/>
  <c r="AI7" i="47084"/>
  <c r="AI6" i="47084" s="1"/>
  <c r="AI6" i="2"/>
  <c r="AH7" i="47084"/>
  <c r="AJ11" i="26"/>
  <c r="AJ15" i="2" s="1"/>
  <c r="AJ14" i="2" s="1"/>
  <c r="AJ109" i="2" s="1"/>
  <c r="AL6" i="2"/>
  <c r="AL7" i="47084"/>
  <c r="AK7" i="47084"/>
  <c r="AK6" i="2"/>
  <c r="AJ7" i="47084"/>
  <c r="AJ6" i="2"/>
  <c r="AH11" i="26"/>
  <c r="AH15" i="2" s="1"/>
  <c r="AH14" i="2" s="1"/>
  <c r="AH109" i="2" s="1"/>
  <c r="AH9" i="47084"/>
  <c r="AI11" i="26"/>
  <c r="AI15" i="2" s="1"/>
  <c r="AI14" i="2" s="1"/>
  <c r="AI109" i="2" s="1"/>
  <c r="AI10" i="2"/>
  <c r="AI102" i="2" s="1"/>
  <c r="AI16" i="47084"/>
  <c r="AI12" i="47084" s="1"/>
  <c r="AI161" i="47084" s="1"/>
  <c r="AK16" i="47084"/>
  <c r="AK12" i="47084" s="1"/>
  <c r="AK161" i="47084" s="1"/>
  <c r="AK10" i="2"/>
  <c r="AL16" i="47084"/>
  <c r="AL12" i="47084" s="1"/>
  <c r="AL161" i="47084" s="1"/>
  <c r="AL10" i="2"/>
  <c r="AL102" i="2" s="1"/>
  <c r="AH10" i="2"/>
  <c r="AH16" i="47084"/>
  <c r="AH12" i="47084" s="1"/>
  <c r="AH161" i="47084" s="1"/>
  <c r="AJ16" i="47084"/>
  <c r="AJ12" i="47084" s="1"/>
  <c r="AJ161" i="47084" s="1"/>
  <c r="AJ10" i="2"/>
  <c r="C33" i="11"/>
  <c r="D32" i="11"/>
  <c r="E32" i="11"/>
  <c r="F32" i="11"/>
  <c r="G32" i="11"/>
  <c r="H32" i="11"/>
  <c r="I32" i="11"/>
  <c r="J32" i="11"/>
  <c r="K32" i="11"/>
  <c r="L32" i="11"/>
  <c r="M32" i="11"/>
  <c r="N32" i="11"/>
  <c r="O32" i="11"/>
  <c r="P32" i="11"/>
  <c r="Q32" i="11"/>
  <c r="R32" i="11"/>
  <c r="S32" i="11"/>
  <c r="T32" i="11"/>
  <c r="U32" i="11"/>
  <c r="V32" i="11"/>
  <c r="W32" i="11"/>
  <c r="X32" i="11"/>
  <c r="Y32" i="11"/>
  <c r="Z32" i="11"/>
  <c r="AA32" i="11"/>
  <c r="AB32" i="11"/>
  <c r="AC32" i="11"/>
  <c r="AD32" i="11"/>
  <c r="AE32" i="11"/>
  <c r="AF32" i="11"/>
  <c r="AG32" i="11"/>
  <c r="D33" i="11"/>
  <c r="E33" i="11"/>
  <c r="F33" i="11"/>
  <c r="G33" i="11"/>
  <c r="H33" i="11"/>
  <c r="I33" i="11"/>
  <c r="J33" i="11"/>
  <c r="K33" i="11"/>
  <c r="L33" i="11"/>
  <c r="M33" i="11"/>
  <c r="N33" i="11"/>
  <c r="O33" i="11"/>
  <c r="P33" i="11"/>
  <c r="Q33" i="11"/>
  <c r="R33" i="11"/>
  <c r="S33" i="11"/>
  <c r="T33" i="11"/>
  <c r="U33" i="11"/>
  <c r="V33" i="11"/>
  <c r="W33" i="11"/>
  <c r="X33" i="11"/>
  <c r="Y33" i="11"/>
  <c r="Z33" i="11"/>
  <c r="AA33" i="11"/>
  <c r="AB33" i="11"/>
  <c r="AC33" i="11"/>
  <c r="AD33" i="11"/>
  <c r="AE33" i="11"/>
  <c r="AF33" i="11"/>
  <c r="AG33" i="11"/>
  <c r="D34" i="11"/>
  <c r="E34" i="11"/>
  <c r="F34" i="11"/>
  <c r="G34" i="11"/>
  <c r="H34" i="11"/>
  <c r="I34" i="11"/>
  <c r="J34" i="11"/>
  <c r="K34" i="11"/>
  <c r="L34" i="11"/>
  <c r="M34" i="11"/>
  <c r="N34" i="11"/>
  <c r="O34" i="11"/>
  <c r="P34" i="11"/>
  <c r="Q34" i="11"/>
  <c r="R34" i="11"/>
  <c r="S34" i="11"/>
  <c r="T34" i="11"/>
  <c r="U34" i="11"/>
  <c r="V34" i="11"/>
  <c r="W34" i="11"/>
  <c r="X34" i="11"/>
  <c r="Y34" i="11"/>
  <c r="Z34" i="11"/>
  <c r="AA34" i="11"/>
  <c r="AB34" i="11"/>
  <c r="AC34" i="11"/>
  <c r="AD34" i="11"/>
  <c r="AE34" i="11"/>
  <c r="AF34" i="11"/>
  <c r="AG34" i="11"/>
  <c r="D35" i="11"/>
  <c r="E35" i="11"/>
  <c r="F35" i="11"/>
  <c r="G35" i="11"/>
  <c r="H35" i="11"/>
  <c r="I35" i="11"/>
  <c r="J35" i="11"/>
  <c r="K35" i="11"/>
  <c r="L35" i="11"/>
  <c r="M35" i="11"/>
  <c r="N35" i="11"/>
  <c r="O35" i="11"/>
  <c r="P35" i="11"/>
  <c r="Q35" i="11"/>
  <c r="R35" i="11"/>
  <c r="S35" i="11"/>
  <c r="T35" i="11"/>
  <c r="U35" i="11"/>
  <c r="V35" i="11"/>
  <c r="W35" i="11"/>
  <c r="X35" i="11"/>
  <c r="Y35" i="11"/>
  <c r="Z35" i="11"/>
  <c r="AA35" i="11"/>
  <c r="AB35" i="11"/>
  <c r="AC35" i="11"/>
  <c r="AD35" i="11"/>
  <c r="AE35" i="11"/>
  <c r="AF35" i="11"/>
  <c r="AG35" i="11"/>
  <c r="C35" i="11"/>
  <c r="C34" i="11"/>
  <c r="C32" i="11"/>
  <c r="C7" i="22"/>
  <c r="C6" i="22"/>
  <c r="C26" i="25"/>
  <c r="AH5" i="2" l="1"/>
  <c r="AH105" i="2" s="1"/>
  <c r="AK102" i="2"/>
  <c r="AJ102" i="2"/>
  <c r="AH102" i="2"/>
  <c r="AI5" i="2"/>
  <c r="AI5" i="47084"/>
  <c r="AI160" i="47084" s="1"/>
  <c r="AK5" i="2"/>
  <c r="AL5" i="2"/>
  <c r="AL6" i="47084"/>
  <c r="AL5" i="47084"/>
  <c r="AJ6" i="47084"/>
  <c r="AJ5" i="47084"/>
  <c r="AK5" i="47084"/>
  <c r="AK6" i="47084"/>
  <c r="AJ5" i="2"/>
  <c r="AH6" i="47084"/>
  <c r="AH5" i="47084"/>
  <c r="AG31" i="11"/>
  <c r="AG37" i="11" s="1"/>
  <c r="D31" i="11"/>
  <c r="D37" i="11" s="1"/>
  <c r="C31" i="11"/>
  <c r="AG26" i="47084"/>
  <c r="AF26" i="47084"/>
  <c r="AE26" i="47084"/>
  <c r="AD26" i="47084"/>
  <c r="AC26" i="47084"/>
  <c r="AB26" i="47084"/>
  <c r="AA26" i="47084"/>
  <c r="Z26" i="47084"/>
  <c r="Y26" i="47084"/>
  <c r="X26" i="47084"/>
  <c r="W26" i="47084"/>
  <c r="V26" i="47084"/>
  <c r="U26" i="47084"/>
  <c r="T26" i="47084"/>
  <c r="S26" i="47084"/>
  <c r="R26" i="47084"/>
  <c r="Q26" i="47084"/>
  <c r="P26" i="47084"/>
  <c r="O26" i="47084"/>
  <c r="N26" i="47084"/>
  <c r="M26" i="47084"/>
  <c r="L26" i="47084"/>
  <c r="K26" i="47084"/>
  <c r="J26" i="47084"/>
  <c r="I26" i="47084"/>
  <c r="H26" i="47084"/>
  <c r="G26" i="47084"/>
  <c r="F26" i="47084"/>
  <c r="E26" i="47084"/>
  <c r="D26" i="47084"/>
  <c r="C26" i="47084"/>
  <c r="AG18" i="47084"/>
  <c r="AF18" i="47084"/>
  <c r="AE18" i="47084"/>
  <c r="AD18" i="47084"/>
  <c r="AC18" i="47084"/>
  <c r="AB18" i="47084"/>
  <c r="AA18" i="47084"/>
  <c r="Z18" i="47084"/>
  <c r="Y18" i="47084"/>
  <c r="X18" i="47084"/>
  <c r="W18" i="47084"/>
  <c r="V18" i="47084"/>
  <c r="U18" i="47084"/>
  <c r="T18" i="47084"/>
  <c r="S18" i="47084"/>
  <c r="R18" i="47084"/>
  <c r="Q18" i="47084"/>
  <c r="P18" i="47084"/>
  <c r="O18" i="47084"/>
  <c r="N18" i="47084"/>
  <c r="M18" i="47084"/>
  <c r="L18" i="47084"/>
  <c r="K18" i="47084"/>
  <c r="J18" i="47084"/>
  <c r="I18" i="47084"/>
  <c r="H18" i="47084"/>
  <c r="G18" i="47084"/>
  <c r="F18" i="47084"/>
  <c r="E18" i="47084"/>
  <c r="D18" i="47084"/>
  <c r="C18" i="47084"/>
  <c r="C14" i="28"/>
  <c r="C54" i="27"/>
  <c r="C11" i="47084" s="1"/>
  <c r="C13" i="19"/>
  <c r="C4" i="19"/>
  <c r="D7" i="26"/>
  <c r="E7" i="26"/>
  <c r="F7" i="26"/>
  <c r="G7" i="26"/>
  <c r="H7" i="26"/>
  <c r="I7" i="26"/>
  <c r="J7" i="26"/>
  <c r="K7" i="26"/>
  <c r="L7" i="26"/>
  <c r="M7" i="26"/>
  <c r="N7" i="26"/>
  <c r="O7" i="26"/>
  <c r="P7" i="26"/>
  <c r="Q7" i="26"/>
  <c r="R7" i="26"/>
  <c r="S7" i="26"/>
  <c r="T7" i="26"/>
  <c r="U7" i="26"/>
  <c r="V7" i="26"/>
  <c r="W7" i="26"/>
  <c r="X7" i="26"/>
  <c r="Y7" i="26"/>
  <c r="Z7" i="26"/>
  <c r="AA7" i="26"/>
  <c r="AB7" i="26"/>
  <c r="AC7" i="26"/>
  <c r="AD7" i="26"/>
  <c r="AE7" i="26"/>
  <c r="AF7" i="26"/>
  <c r="AG7" i="26"/>
  <c r="C7" i="26"/>
  <c r="AG54" i="27"/>
  <c r="AF54" i="27"/>
  <c r="AE54" i="27"/>
  <c r="AD54" i="27"/>
  <c r="AC54" i="27"/>
  <c r="AB54" i="27"/>
  <c r="AA54" i="27"/>
  <c r="Z54" i="27"/>
  <c r="Y54" i="27"/>
  <c r="X54" i="27"/>
  <c r="W54" i="27"/>
  <c r="V54" i="27"/>
  <c r="U54" i="27"/>
  <c r="T54" i="27"/>
  <c r="S54" i="27"/>
  <c r="R54" i="27"/>
  <c r="Q54" i="27"/>
  <c r="P54" i="27"/>
  <c r="O54" i="27"/>
  <c r="N54" i="27"/>
  <c r="M54" i="27"/>
  <c r="L54" i="27"/>
  <c r="K54" i="27"/>
  <c r="J54" i="27"/>
  <c r="I54" i="27"/>
  <c r="H54" i="27"/>
  <c r="G54" i="27"/>
  <c r="F54" i="27"/>
  <c r="E54" i="27"/>
  <c r="D54" i="27"/>
  <c r="AH18" i="2" l="1"/>
  <c r="AH20" i="2" s="1"/>
  <c r="AI32" i="47084"/>
  <c r="AI38" i="47084" s="1"/>
  <c r="AK18" i="2"/>
  <c r="AK20" i="2" s="1"/>
  <c r="AK105" i="2"/>
  <c r="AK32" i="47084"/>
  <c r="AK38" i="47084" s="1"/>
  <c r="AK160" i="47084"/>
  <c r="AJ18" i="2"/>
  <c r="AJ23" i="2" s="1"/>
  <c r="AJ105" i="2"/>
  <c r="AJ32" i="47084"/>
  <c r="AJ34" i="47084" s="1"/>
  <c r="AJ160" i="47084"/>
  <c r="AL18" i="2"/>
  <c r="AL20" i="2" s="1"/>
  <c r="AL105" i="2"/>
  <c r="AH32" i="47084"/>
  <c r="AH34" i="47084" s="1"/>
  <c r="AH160" i="47084"/>
  <c r="AL32" i="47084"/>
  <c r="AL38" i="47084" s="1"/>
  <c r="AL160" i="47084"/>
  <c r="AI18" i="2"/>
  <c r="AI105" i="2"/>
  <c r="S11" i="47084"/>
  <c r="S55" i="27"/>
  <c r="F11" i="47084"/>
  <c r="F55" i="27"/>
  <c r="N11" i="47084"/>
  <c r="N55" i="27"/>
  <c r="V11" i="47084"/>
  <c r="V55" i="27"/>
  <c r="AD11" i="47084"/>
  <c r="AD55" i="27"/>
  <c r="AE11" i="47084"/>
  <c r="AE55" i="27"/>
  <c r="W11" i="47084"/>
  <c r="W55" i="27"/>
  <c r="P11" i="47084"/>
  <c r="P55" i="27"/>
  <c r="X11" i="47084"/>
  <c r="X55" i="27"/>
  <c r="AF11" i="47084"/>
  <c r="AF55" i="27"/>
  <c r="O11" i="47084"/>
  <c r="O55" i="27"/>
  <c r="I11" i="47084"/>
  <c r="I55" i="27"/>
  <c r="Q11" i="47084"/>
  <c r="Q55" i="27"/>
  <c r="Y11" i="47084"/>
  <c r="Y55" i="27"/>
  <c r="AG11" i="47084"/>
  <c r="AG55" i="27"/>
  <c r="G11" i="47084"/>
  <c r="G55" i="27"/>
  <c r="H11" i="47084"/>
  <c r="H55" i="27"/>
  <c r="J11" i="47084"/>
  <c r="J55" i="27"/>
  <c r="R11" i="47084"/>
  <c r="R55" i="27"/>
  <c r="Z11" i="47084"/>
  <c r="Z55" i="27"/>
  <c r="AA11" i="47084"/>
  <c r="AA55" i="27"/>
  <c r="D11" i="47084"/>
  <c r="D55" i="27"/>
  <c r="L11" i="47084"/>
  <c r="L55" i="27"/>
  <c r="T11" i="47084"/>
  <c r="T55" i="27"/>
  <c r="AB11" i="47084"/>
  <c r="AB55" i="27"/>
  <c r="K11" i="47084"/>
  <c r="K55" i="27"/>
  <c r="E11" i="47084"/>
  <c r="E55" i="27"/>
  <c r="M11" i="47084"/>
  <c r="M55" i="27"/>
  <c r="U11" i="47084"/>
  <c r="U55" i="27"/>
  <c r="AC11" i="47084"/>
  <c r="AC55" i="27"/>
  <c r="AG28" i="47084"/>
  <c r="AF28" i="47084"/>
  <c r="AE28" i="47084"/>
  <c r="AD28" i="47084"/>
  <c r="AC28" i="47084"/>
  <c r="AB28" i="47084"/>
  <c r="AA28" i="47084"/>
  <c r="Z28" i="47084"/>
  <c r="Y28" i="47084"/>
  <c r="X28" i="47084"/>
  <c r="W28" i="47084"/>
  <c r="V28" i="47084"/>
  <c r="U28" i="47084"/>
  <c r="T28" i="47084"/>
  <c r="S28" i="47084"/>
  <c r="R28" i="47084"/>
  <c r="Q28" i="47084"/>
  <c r="P28" i="47084"/>
  <c r="O28" i="47084"/>
  <c r="N28" i="47084"/>
  <c r="M28" i="47084"/>
  <c r="L28" i="47084"/>
  <c r="K28" i="47084"/>
  <c r="J28" i="47084"/>
  <c r="I28" i="47084"/>
  <c r="H28" i="47084"/>
  <c r="G28" i="47084"/>
  <c r="F28" i="47084"/>
  <c r="E28" i="47084"/>
  <c r="D28" i="47084"/>
  <c r="C28" i="47084"/>
  <c r="AG20" i="47084"/>
  <c r="AF20" i="47084"/>
  <c r="AE20" i="47084"/>
  <c r="AD20" i="47084"/>
  <c r="AC20" i="47084"/>
  <c r="AB20" i="47084"/>
  <c r="AA20" i="47084"/>
  <c r="Z20" i="47084"/>
  <c r="Y20" i="47084"/>
  <c r="X20" i="47084"/>
  <c r="W20" i="47084"/>
  <c r="V20" i="47084"/>
  <c r="U20" i="47084"/>
  <c r="T20" i="47084"/>
  <c r="S20" i="47084"/>
  <c r="R20" i="47084"/>
  <c r="Q20" i="47084"/>
  <c r="P20" i="47084"/>
  <c r="O20" i="47084"/>
  <c r="N20" i="47084"/>
  <c r="M20" i="47084"/>
  <c r="L20" i="47084"/>
  <c r="K20" i="47084"/>
  <c r="J20" i="47084"/>
  <c r="I20" i="47084"/>
  <c r="H20" i="47084"/>
  <c r="G20" i="47084"/>
  <c r="F20" i="47084"/>
  <c r="E20" i="47084"/>
  <c r="D20" i="47084"/>
  <c r="C20" i="47084"/>
  <c r="AG14" i="28"/>
  <c r="AF14" i="28"/>
  <c r="AE14" i="28"/>
  <c r="AD14" i="28"/>
  <c r="AC14" i="28"/>
  <c r="AB14" i="28"/>
  <c r="AA14" i="28"/>
  <c r="Z14" i="28"/>
  <c r="Y14" i="28"/>
  <c r="X14" i="28"/>
  <c r="W14" i="28"/>
  <c r="V14" i="28"/>
  <c r="U14" i="28"/>
  <c r="T14" i="28"/>
  <c r="S14" i="28"/>
  <c r="R14" i="28"/>
  <c r="Q14" i="28"/>
  <c r="P14" i="28"/>
  <c r="O14" i="28"/>
  <c r="N14" i="28"/>
  <c r="M14" i="28"/>
  <c r="L14" i="28"/>
  <c r="K14" i="28"/>
  <c r="J14" i="28"/>
  <c r="I14" i="28"/>
  <c r="H14" i="28"/>
  <c r="G14" i="28"/>
  <c r="F14" i="28"/>
  <c r="E14" i="28"/>
  <c r="D14" i="28"/>
  <c r="AG15" i="47084"/>
  <c r="AF15" i="47084"/>
  <c r="AE15" i="47084"/>
  <c r="AD15" i="47084"/>
  <c r="AC15" i="47084"/>
  <c r="AB15" i="47084"/>
  <c r="AA15" i="47084"/>
  <c r="Z15" i="47084"/>
  <c r="Y15" i="47084"/>
  <c r="X15" i="47084"/>
  <c r="W15" i="47084"/>
  <c r="V15" i="47084"/>
  <c r="U15" i="47084"/>
  <c r="T15" i="47084"/>
  <c r="S15" i="47084"/>
  <c r="R15" i="47084"/>
  <c r="Q15" i="47084"/>
  <c r="P15" i="47084"/>
  <c r="O15" i="47084"/>
  <c r="N15" i="47084"/>
  <c r="M15" i="47084"/>
  <c r="L15" i="47084"/>
  <c r="K15" i="47084"/>
  <c r="J15" i="47084"/>
  <c r="I15" i="47084"/>
  <c r="H15" i="47084"/>
  <c r="G15" i="47084"/>
  <c r="F15" i="47084"/>
  <c r="E15" i="47084"/>
  <c r="D15" i="47084"/>
  <c r="C15" i="47084"/>
  <c r="AH23" i="2" l="1"/>
  <c r="AK34" i="47084"/>
  <c r="AL23" i="2"/>
  <c r="AI34" i="47084"/>
  <c r="AJ20" i="2"/>
  <c r="AK23" i="2"/>
  <c r="AL34" i="47084"/>
  <c r="AH38" i="47084"/>
  <c r="AJ38" i="47084"/>
  <c r="AI20" i="2"/>
  <c r="AI23" i="2"/>
  <c r="B55" i="27"/>
  <c r="AG16" i="19"/>
  <c r="AF16" i="19"/>
  <c r="AE16" i="19"/>
  <c r="AD16" i="19"/>
  <c r="AC16" i="19"/>
  <c r="AB16" i="19"/>
  <c r="AA16" i="19"/>
  <c r="Z16" i="19"/>
  <c r="Y16" i="19"/>
  <c r="X16" i="19"/>
  <c r="W16" i="19"/>
  <c r="V16" i="19"/>
  <c r="U16" i="19"/>
  <c r="T16" i="19"/>
  <c r="S16" i="19"/>
  <c r="R16" i="19"/>
  <c r="Q16" i="19"/>
  <c r="P16" i="19"/>
  <c r="O16" i="19"/>
  <c r="N16" i="19"/>
  <c r="M16" i="19"/>
  <c r="L16" i="19"/>
  <c r="K16" i="19"/>
  <c r="J16" i="19"/>
  <c r="I16" i="19"/>
  <c r="H16" i="19"/>
  <c r="G16" i="19"/>
  <c r="F16" i="19"/>
  <c r="E16" i="19"/>
  <c r="D16" i="19"/>
  <c r="C16" i="19"/>
  <c r="C26" i="19" s="1"/>
  <c r="AG13" i="19"/>
  <c r="AF13" i="19"/>
  <c r="AE13" i="19"/>
  <c r="AD13" i="19"/>
  <c r="AC13" i="19"/>
  <c r="AB13" i="19"/>
  <c r="AA13" i="19"/>
  <c r="Z13" i="19"/>
  <c r="Y13" i="19"/>
  <c r="X13" i="19"/>
  <c r="W13" i="19"/>
  <c r="V13" i="19"/>
  <c r="U13" i="19"/>
  <c r="T13" i="19"/>
  <c r="S13" i="19"/>
  <c r="R13" i="19"/>
  <c r="Q13" i="19"/>
  <c r="P13" i="19"/>
  <c r="O13" i="19"/>
  <c r="N13" i="19"/>
  <c r="M13" i="19"/>
  <c r="L13" i="19"/>
  <c r="K13" i="19"/>
  <c r="J13" i="19"/>
  <c r="I13" i="19"/>
  <c r="H13" i="19"/>
  <c r="G13" i="19"/>
  <c r="F13" i="19"/>
  <c r="E13" i="19"/>
  <c r="D13" i="19"/>
  <c r="AG4" i="19"/>
  <c r="AF4" i="19"/>
  <c r="AE4" i="19"/>
  <c r="AD4" i="19"/>
  <c r="AC4" i="19"/>
  <c r="AB4" i="19"/>
  <c r="AA4" i="19"/>
  <c r="Z4" i="19"/>
  <c r="Y4" i="19"/>
  <c r="X4" i="19"/>
  <c r="W4" i="19"/>
  <c r="V4" i="19"/>
  <c r="U4" i="19"/>
  <c r="T4" i="19"/>
  <c r="S4" i="19"/>
  <c r="R4" i="19"/>
  <c r="Q4" i="19"/>
  <c r="P4" i="19"/>
  <c r="O4" i="19"/>
  <c r="N4" i="19"/>
  <c r="M4" i="19"/>
  <c r="L4" i="19"/>
  <c r="K4" i="19"/>
  <c r="J4" i="19"/>
  <c r="I4" i="19"/>
  <c r="H4" i="19"/>
  <c r="G4" i="19"/>
  <c r="F4" i="19"/>
  <c r="E4" i="19"/>
  <c r="D4" i="19"/>
  <c r="AG26" i="25"/>
  <c r="AF26" i="25"/>
  <c r="AE26" i="25"/>
  <c r="AD26" i="25"/>
  <c r="AC26" i="25"/>
  <c r="AB26" i="25"/>
  <c r="AA26" i="25"/>
  <c r="Z26" i="25"/>
  <c r="Y26" i="25"/>
  <c r="X26" i="25"/>
  <c r="W26" i="25"/>
  <c r="V26" i="25"/>
  <c r="U26" i="25"/>
  <c r="T26" i="25"/>
  <c r="S26" i="25"/>
  <c r="R26" i="25"/>
  <c r="Q26" i="25"/>
  <c r="P26" i="25"/>
  <c r="O26" i="25"/>
  <c r="N26" i="25"/>
  <c r="M26" i="25"/>
  <c r="L26" i="25"/>
  <c r="K26" i="25"/>
  <c r="J26" i="25"/>
  <c r="I26" i="25"/>
  <c r="H26" i="25"/>
  <c r="G26" i="25"/>
  <c r="F26" i="25"/>
  <c r="E26" i="25"/>
  <c r="D26" i="25"/>
  <c r="AG17" i="16"/>
  <c r="AF17" i="16"/>
  <c r="AE17" i="16"/>
  <c r="AD17" i="16"/>
  <c r="AC17" i="16"/>
  <c r="AB17" i="16"/>
  <c r="AA17" i="16"/>
  <c r="Z17" i="16"/>
  <c r="Y17" i="16"/>
  <c r="X17" i="16"/>
  <c r="W17" i="16"/>
  <c r="V17" i="16"/>
  <c r="U17" i="16"/>
  <c r="T17" i="16"/>
  <c r="S17" i="16"/>
  <c r="R17" i="16"/>
  <c r="Q17" i="16"/>
  <c r="P17" i="16"/>
  <c r="O17" i="16"/>
  <c r="N17" i="16"/>
  <c r="M17" i="16"/>
  <c r="L17" i="16"/>
  <c r="K17" i="16"/>
  <c r="J17" i="16"/>
  <c r="I17" i="16"/>
  <c r="H17" i="16"/>
  <c r="G17" i="16"/>
  <c r="F17" i="16"/>
  <c r="E17" i="16"/>
  <c r="D17" i="16"/>
  <c r="C17" i="16"/>
  <c r="AG16" i="16"/>
  <c r="AF16" i="16"/>
  <c r="AE16" i="16"/>
  <c r="AD16" i="16"/>
  <c r="AC16" i="16"/>
  <c r="AB16" i="16"/>
  <c r="AA16" i="16"/>
  <c r="Z16" i="16"/>
  <c r="Y16" i="16"/>
  <c r="X16" i="16"/>
  <c r="W16" i="16"/>
  <c r="V16" i="16"/>
  <c r="U16" i="16"/>
  <c r="T16" i="16"/>
  <c r="S16" i="16"/>
  <c r="R16" i="16"/>
  <c r="Q16" i="16"/>
  <c r="P16" i="16"/>
  <c r="O16" i="16"/>
  <c r="N16" i="16"/>
  <c r="M16" i="16"/>
  <c r="L16" i="16"/>
  <c r="K16" i="16"/>
  <c r="J16" i="16"/>
  <c r="I16" i="16"/>
  <c r="H16" i="16"/>
  <c r="G16" i="16"/>
  <c r="F16" i="16"/>
  <c r="E16" i="16"/>
  <c r="D16" i="16"/>
  <c r="C16" i="16"/>
  <c r="C10" i="47084"/>
  <c r="AG9" i="2"/>
  <c r="AF9" i="2"/>
  <c r="AE9" i="2"/>
  <c r="AD9" i="2"/>
  <c r="AC9" i="2"/>
  <c r="AB9" i="2"/>
  <c r="AA9" i="2"/>
  <c r="Z9" i="2"/>
  <c r="Y9" i="2"/>
  <c r="X9" i="2"/>
  <c r="W9" i="2"/>
  <c r="V9" i="2"/>
  <c r="U9" i="2"/>
  <c r="T9" i="2"/>
  <c r="S9" i="2"/>
  <c r="R9" i="2"/>
  <c r="Q9" i="2"/>
  <c r="P9" i="2"/>
  <c r="O9" i="2"/>
  <c r="N9" i="2"/>
  <c r="M9" i="2"/>
  <c r="L9" i="2"/>
  <c r="K9" i="2"/>
  <c r="J9" i="2"/>
  <c r="I9" i="2"/>
  <c r="H9" i="2"/>
  <c r="G9" i="2"/>
  <c r="F9" i="2"/>
  <c r="E9" i="2"/>
  <c r="D9" i="2"/>
  <c r="C9" i="2"/>
  <c r="D57" i="27" l="1"/>
  <c r="E57" i="27" s="1"/>
  <c r="F57" i="27" s="1"/>
  <c r="G57" i="27" s="1"/>
  <c r="H57" i="27" s="1"/>
  <c r="I57" i="27" s="1"/>
  <c r="J57" i="27" s="1"/>
  <c r="K57" i="27" s="1"/>
  <c r="L57" i="27" s="1"/>
  <c r="M57" i="27" s="1"/>
  <c r="N57" i="27" s="1"/>
  <c r="O57" i="27" s="1"/>
  <c r="P57" i="27" s="1"/>
  <c r="Q57" i="27" s="1"/>
  <c r="R57" i="27" s="1"/>
  <c r="S57" i="27" s="1"/>
  <c r="T57" i="27" s="1"/>
  <c r="U57" i="27" s="1"/>
  <c r="V57" i="27" s="1"/>
  <c r="W57" i="27" s="1"/>
  <c r="X57" i="27" s="1"/>
  <c r="Y57" i="27" s="1"/>
  <c r="Z57" i="27" s="1"/>
  <c r="AA57" i="27" s="1"/>
  <c r="AB57" i="27" s="1"/>
  <c r="AC57" i="27" s="1"/>
  <c r="AD57" i="27" s="1"/>
  <c r="AE57" i="27" s="1"/>
  <c r="AF57" i="27" s="1"/>
  <c r="AG57" i="27" s="1"/>
  <c r="AH57" i="27" s="1"/>
  <c r="AI57" i="27" s="1"/>
  <c r="AJ57" i="27" s="1"/>
  <c r="AK57" i="27" s="1"/>
  <c r="AL57" i="27" s="1"/>
  <c r="L60" i="27"/>
  <c r="L59" i="27"/>
  <c r="P26" i="19"/>
  <c r="P28" i="19" s="1"/>
  <c r="X26" i="19"/>
  <c r="X28" i="19" s="1"/>
  <c r="AF26" i="19"/>
  <c r="AF28" i="19" s="1"/>
  <c r="D26" i="19"/>
  <c r="D28" i="19" s="1"/>
  <c r="L26" i="19"/>
  <c r="L28" i="19" s="1"/>
  <c r="M26" i="19"/>
  <c r="M28" i="19" s="1"/>
  <c r="U26" i="19"/>
  <c r="U28" i="19" s="1"/>
  <c r="AC26" i="19"/>
  <c r="AC28" i="19" s="1"/>
  <c r="E26" i="19"/>
  <c r="E28" i="19" s="1"/>
  <c r="O26" i="19"/>
  <c r="O28" i="19" s="1"/>
  <c r="W26" i="19"/>
  <c r="W28" i="19" s="1"/>
  <c r="AE26" i="19"/>
  <c r="AE28" i="19" s="1"/>
  <c r="T26" i="19"/>
  <c r="T28" i="19" s="1"/>
  <c r="H26" i="19"/>
  <c r="H28" i="19" s="1"/>
  <c r="G26" i="19"/>
  <c r="G28" i="19" s="1"/>
  <c r="AB26" i="19"/>
  <c r="AB28" i="19" s="1"/>
  <c r="Y26" i="19"/>
  <c r="Y28" i="19" s="1"/>
  <c r="K26" i="19"/>
  <c r="K28" i="19" s="1"/>
  <c r="S26" i="19"/>
  <c r="S28" i="19" s="1"/>
  <c r="AA26" i="19"/>
  <c r="AA28" i="19" s="1"/>
  <c r="I26" i="19"/>
  <c r="I28" i="19" s="1"/>
  <c r="Z26" i="19"/>
  <c r="Z28" i="19" s="1"/>
  <c r="AG26" i="19"/>
  <c r="AG28" i="19" s="1"/>
  <c r="R26" i="19"/>
  <c r="R28" i="19" s="1"/>
  <c r="F26" i="19"/>
  <c r="F28" i="19" s="1"/>
  <c r="N26" i="19"/>
  <c r="N28" i="19" s="1"/>
  <c r="V26" i="19"/>
  <c r="V28" i="19" s="1"/>
  <c r="AD26" i="19"/>
  <c r="AD28" i="19" s="1"/>
  <c r="Q26" i="19"/>
  <c r="Q28" i="19" s="1"/>
  <c r="J26" i="19"/>
  <c r="J28" i="19" s="1"/>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F28" i="24"/>
  <c r="E28" i="24"/>
  <c r="D28" i="24"/>
  <c r="C28" i="24"/>
  <c r="AG108" i="25"/>
  <c r="AG111" i="25" s="1"/>
  <c r="AF108" i="25"/>
  <c r="AF111" i="25" s="1"/>
  <c r="AE108" i="25"/>
  <c r="AE111" i="25" s="1"/>
  <c r="AD108" i="25"/>
  <c r="AD111" i="25" s="1"/>
  <c r="AC108" i="25"/>
  <c r="AC111" i="25" s="1"/>
  <c r="AB108" i="25"/>
  <c r="AB111" i="25" s="1"/>
  <c r="AA108" i="25"/>
  <c r="AA111" i="25" s="1"/>
  <c r="Z108" i="25"/>
  <c r="Z111" i="25" s="1"/>
  <c r="Y108" i="25"/>
  <c r="Y111" i="25" s="1"/>
  <c r="X108" i="25"/>
  <c r="X111" i="25" s="1"/>
  <c r="W108" i="25"/>
  <c r="W111" i="25" s="1"/>
  <c r="V108" i="25"/>
  <c r="V111" i="25" s="1"/>
  <c r="U108" i="25"/>
  <c r="U111" i="25" s="1"/>
  <c r="T108" i="25"/>
  <c r="T111" i="25" s="1"/>
  <c r="S108" i="25"/>
  <c r="S111" i="25" s="1"/>
  <c r="R108" i="25"/>
  <c r="R111" i="25" s="1"/>
  <c r="Q108" i="25"/>
  <c r="Q111" i="25" s="1"/>
  <c r="P108" i="25"/>
  <c r="P111" i="25" s="1"/>
  <c r="O108" i="25"/>
  <c r="O111" i="25" s="1"/>
  <c r="N108" i="25"/>
  <c r="N111" i="25" s="1"/>
  <c r="M108" i="25"/>
  <c r="M111" i="25" s="1"/>
  <c r="L108" i="25"/>
  <c r="L111" i="25" s="1"/>
  <c r="K108" i="25"/>
  <c r="K111" i="25" s="1"/>
  <c r="J108" i="25"/>
  <c r="J111" i="25" s="1"/>
  <c r="I108" i="25"/>
  <c r="I111" i="25" s="1"/>
  <c r="H108" i="25"/>
  <c r="H111" i="25" s="1"/>
  <c r="G108" i="25"/>
  <c r="G111" i="25" s="1"/>
  <c r="F108" i="25"/>
  <c r="F111" i="25" s="1"/>
  <c r="E108" i="25"/>
  <c r="E111" i="25" s="1"/>
  <c r="D108" i="25"/>
  <c r="D111" i="25" s="1"/>
  <c r="C108" i="25"/>
  <c r="AG80" i="25"/>
  <c r="AG83" i="25" s="1"/>
  <c r="AF80" i="25"/>
  <c r="AF83" i="25" s="1"/>
  <c r="AE80" i="25"/>
  <c r="AE83" i="25" s="1"/>
  <c r="AD80" i="25"/>
  <c r="AD83" i="25" s="1"/>
  <c r="AC80" i="25"/>
  <c r="AC83" i="25" s="1"/>
  <c r="AB80" i="25"/>
  <c r="AB83" i="25" s="1"/>
  <c r="AA80" i="25"/>
  <c r="AA83" i="25" s="1"/>
  <c r="Z80" i="25"/>
  <c r="Z83" i="25" s="1"/>
  <c r="Y80" i="25"/>
  <c r="Y83" i="25" s="1"/>
  <c r="X80" i="25"/>
  <c r="X83" i="25" s="1"/>
  <c r="W80" i="25"/>
  <c r="W83" i="25" s="1"/>
  <c r="V80" i="25"/>
  <c r="V83" i="25" s="1"/>
  <c r="U80" i="25"/>
  <c r="U83" i="25" s="1"/>
  <c r="T80" i="25"/>
  <c r="T83" i="25" s="1"/>
  <c r="S80" i="25"/>
  <c r="S83" i="25" s="1"/>
  <c r="R80" i="25"/>
  <c r="R83" i="25" s="1"/>
  <c r="Q80" i="25"/>
  <c r="Q83" i="25" s="1"/>
  <c r="P80" i="25"/>
  <c r="P83" i="25" s="1"/>
  <c r="O80" i="25"/>
  <c r="O83" i="25" s="1"/>
  <c r="N80" i="25"/>
  <c r="N83" i="25" s="1"/>
  <c r="M80" i="25"/>
  <c r="M83" i="25" s="1"/>
  <c r="L80" i="25"/>
  <c r="L83" i="25" s="1"/>
  <c r="K80" i="25"/>
  <c r="K83" i="25" s="1"/>
  <c r="J80" i="25"/>
  <c r="J83" i="25" s="1"/>
  <c r="I80" i="25"/>
  <c r="I83" i="25" s="1"/>
  <c r="H80" i="25"/>
  <c r="H83" i="25" s="1"/>
  <c r="G80" i="25"/>
  <c r="G83" i="25" s="1"/>
  <c r="F80" i="25"/>
  <c r="F83" i="25" s="1"/>
  <c r="E80" i="25"/>
  <c r="E83" i="25" s="1"/>
  <c r="D80" i="25"/>
  <c r="D83" i="25" s="1"/>
  <c r="C80" i="25"/>
  <c r="AG27" i="25"/>
  <c r="AG30" i="25" s="1"/>
  <c r="AF27" i="25"/>
  <c r="AF30" i="25" s="1"/>
  <c r="AE27" i="25"/>
  <c r="AE30" i="25" s="1"/>
  <c r="AD27" i="25"/>
  <c r="AD30" i="25" s="1"/>
  <c r="AC27" i="25"/>
  <c r="AC30" i="25" s="1"/>
  <c r="AB27" i="25"/>
  <c r="AB30" i="25" s="1"/>
  <c r="AA27" i="25"/>
  <c r="AA30" i="25" s="1"/>
  <c r="Z27" i="25"/>
  <c r="Z30" i="25" s="1"/>
  <c r="Y27" i="25"/>
  <c r="Y30" i="25" s="1"/>
  <c r="X27" i="25"/>
  <c r="X30" i="25" s="1"/>
  <c r="W27" i="25"/>
  <c r="W30" i="25" s="1"/>
  <c r="V27" i="25"/>
  <c r="V30" i="25" s="1"/>
  <c r="U27" i="25"/>
  <c r="U30" i="25" s="1"/>
  <c r="T27" i="25"/>
  <c r="T30" i="25" s="1"/>
  <c r="S27" i="25"/>
  <c r="S30" i="25" s="1"/>
  <c r="R27" i="25"/>
  <c r="R30" i="25" s="1"/>
  <c r="Q27" i="25"/>
  <c r="Q30" i="25" s="1"/>
  <c r="P27" i="25"/>
  <c r="P30" i="25" s="1"/>
  <c r="O27" i="25"/>
  <c r="O30" i="25" s="1"/>
  <c r="N27" i="25"/>
  <c r="N30" i="25" s="1"/>
  <c r="M27" i="25"/>
  <c r="M30" i="25" s="1"/>
  <c r="L27" i="25"/>
  <c r="L30" i="25" s="1"/>
  <c r="K27" i="25"/>
  <c r="K30" i="25" s="1"/>
  <c r="J27" i="25"/>
  <c r="J30" i="25" s="1"/>
  <c r="I27" i="25"/>
  <c r="I30" i="25" s="1"/>
  <c r="H27" i="25"/>
  <c r="H30" i="25" s="1"/>
  <c r="G27" i="25"/>
  <c r="G30" i="25" s="1"/>
  <c r="F27" i="25"/>
  <c r="F30" i="25" s="1"/>
  <c r="E27" i="25"/>
  <c r="E30" i="25" s="1"/>
  <c r="D27" i="25"/>
  <c r="D30" i="25" s="1"/>
  <c r="C27" i="25"/>
  <c r="B30" i="25" l="1"/>
  <c r="D28" i="25" s="1"/>
  <c r="E28" i="25" s="1"/>
  <c r="F28" i="25" s="1"/>
  <c r="G28" i="25" s="1"/>
  <c r="H28" i="25" s="1"/>
  <c r="I28" i="25" s="1"/>
  <c r="J28" i="25" s="1"/>
  <c r="K28" i="25" s="1"/>
  <c r="L28" i="25" s="1"/>
  <c r="M28" i="25" s="1"/>
  <c r="N28" i="25" s="1"/>
  <c r="O28" i="25" s="1"/>
  <c r="P28" i="25" s="1"/>
  <c r="Q28" i="25" s="1"/>
  <c r="R28" i="25" s="1"/>
  <c r="S28" i="25" s="1"/>
  <c r="T28" i="25" s="1"/>
  <c r="U28" i="25" s="1"/>
  <c r="V28" i="25" s="1"/>
  <c r="W28" i="25" s="1"/>
  <c r="X28" i="25" s="1"/>
  <c r="Y28" i="25" s="1"/>
  <c r="Z28" i="25" s="1"/>
  <c r="AA28" i="25" s="1"/>
  <c r="AB28" i="25" s="1"/>
  <c r="AC28" i="25" s="1"/>
  <c r="AD28" i="25" s="1"/>
  <c r="AE28" i="25" s="1"/>
  <c r="AF28" i="25" s="1"/>
  <c r="AG28" i="25" s="1"/>
  <c r="AH28" i="25" s="1"/>
  <c r="AI28" i="25" s="1"/>
  <c r="AJ28" i="25" s="1"/>
  <c r="AK28" i="25" s="1"/>
  <c r="AL28" i="25" s="1"/>
  <c r="B111" i="25"/>
  <c r="BN11" i="25" s="1"/>
  <c r="B83" i="25"/>
  <c r="BN10" i="25" s="1"/>
  <c r="B28" i="19"/>
  <c r="Y56" i="47086"/>
  <c r="AB56" i="47086"/>
  <c r="V56" i="47086"/>
  <c r="W56" i="47086"/>
  <c r="AE56" i="47086"/>
  <c r="Z56" i="47086"/>
  <c r="AA56" i="47086"/>
  <c r="AD56" i="47086"/>
  <c r="AC56" i="47086"/>
  <c r="X56" i="47086"/>
  <c r="AF56" i="47086"/>
  <c r="B56" i="47086"/>
  <c r="BN8" i="25" l="1"/>
  <c r="BN7" i="25"/>
  <c r="D81" i="25"/>
  <c r="E81" i="25" s="1"/>
  <c r="F81" i="25" s="1"/>
  <c r="G81" i="25" s="1"/>
  <c r="H81" i="25" s="1"/>
  <c r="I81" i="25" s="1"/>
  <c r="J81" i="25" s="1"/>
  <c r="K81" i="25" s="1"/>
  <c r="L81" i="25" s="1"/>
  <c r="M81" i="25" s="1"/>
  <c r="N81" i="25" s="1"/>
  <c r="O81" i="25" s="1"/>
  <c r="P81" i="25" s="1"/>
  <c r="Q81" i="25" s="1"/>
  <c r="R81" i="25" s="1"/>
  <c r="S81" i="25" s="1"/>
  <c r="T81" i="25" s="1"/>
  <c r="U81" i="25" s="1"/>
  <c r="V81" i="25" s="1"/>
  <c r="W81" i="25" s="1"/>
  <c r="X81" i="25" s="1"/>
  <c r="Y81" i="25" s="1"/>
  <c r="Z81" i="25" s="1"/>
  <c r="AA81" i="25" s="1"/>
  <c r="AB81" i="25" s="1"/>
  <c r="AC81" i="25" s="1"/>
  <c r="AD81" i="25" s="1"/>
  <c r="AE81" i="25" s="1"/>
  <c r="AF81" i="25" s="1"/>
  <c r="AG81" i="25" s="1"/>
  <c r="AH81" i="25" s="1"/>
  <c r="AI81" i="25" s="1"/>
  <c r="AJ81" i="25" s="1"/>
  <c r="AK81" i="25" s="1"/>
  <c r="AL81" i="25" s="1"/>
  <c r="BN12" i="25"/>
  <c r="D110" i="25"/>
  <c r="E110" i="25" s="1"/>
  <c r="F110" i="25" s="1"/>
  <c r="G110" i="25" s="1"/>
  <c r="H110" i="25" s="1"/>
  <c r="I110" i="25" s="1"/>
  <c r="J110" i="25" s="1"/>
  <c r="K110" i="25" s="1"/>
  <c r="L110" i="25" s="1"/>
  <c r="M110" i="25" s="1"/>
  <c r="N110" i="25" s="1"/>
  <c r="O110" i="25" s="1"/>
  <c r="P110" i="25" s="1"/>
  <c r="Q110" i="25" s="1"/>
  <c r="R110" i="25" s="1"/>
  <c r="S110" i="25" s="1"/>
  <c r="T110" i="25" s="1"/>
  <c r="U110" i="25" s="1"/>
  <c r="V110" i="25" s="1"/>
  <c r="W110" i="25" s="1"/>
  <c r="X110" i="25" s="1"/>
  <c r="Y110" i="25" s="1"/>
  <c r="Z110" i="25" s="1"/>
  <c r="AA110" i="25" s="1"/>
  <c r="AB110" i="25" s="1"/>
  <c r="AC110" i="25" s="1"/>
  <c r="AD110" i="25" s="1"/>
  <c r="AE110" i="25" s="1"/>
  <c r="AF110" i="25" s="1"/>
  <c r="AG110" i="25" s="1"/>
  <c r="AH110" i="25" s="1"/>
  <c r="AI110" i="25" s="1"/>
  <c r="AJ110" i="25" s="1"/>
  <c r="AK110" i="25" s="1"/>
  <c r="AL110" i="25" s="1"/>
  <c r="BN9" i="25"/>
  <c r="D27" i="19"/>
  <c r="E27" i="19" s="1"/>
  <c r="F27" i="19" s="1"/>
  <c r="G27" i="19" s="1"/>
  <c r="H27" i="19" s="1"/>
  <c r="I27" i="19" s="1"/>
  <c r="J27" i="19" s="1"/>
  <c r="K27" i="19" s="1"/>
  <c r="L27" i="19" s="1"/>
  <c r="M27" i="19" s="1"/>
  <c r="N27" i="19" s="1"/>
  <c r="O27" i="19" s="1"/>
  <c r="P27" i="19" s="1"/>
  <c r="Q27" i="19" s="1"/>
  <c r="R27" i="19" s="1"/>
  <c r="S27" i="19" s="1"/>
  <c r="T27" i="19" s="1"/>
  <c r="U27" i="19" s="1"/>
  <c r="V27" i="19" s="1"/>
  <c r="W27" i="19" s="1"/>
  <c r="X27" i="19" s="1"/>
  <c r="Y27" i="19" s="1"/>
  <c r="Z27" i="19" s="1"/>
  <c r="AA27" i="19" s="1"/>
  <c r="AB27" i="19" s="1"/>
  <c r="AC27" i="19" s="1"/>
  <c r="AD27" i="19" s="1"/>
  <c r="AE27" i="19" s="1"/>
  <c r="AF27" i="19" s="1"/>
  <c r="AG27" i="19" s="1"/>
  <c r="AH27" i="19" s="1"/>
  <c r="AI27" i="19" s="1"/>
  <c r="AJ27" i="19" s="1"/>
  <c r="AK27" i="19" s="1"/>
  <c r="AL27" i="19" s="1"/>
  <c r="W33" i="19"/>
  <c r="W32" i="19"/>
  <c r="W31" i="19"/>
  <c r="W30" i="19"/>
  <c r="AG11" i="22"/>
  <c r="AF11" i="22"/>
  <c r="AE11" i="22"/>
  <c r="AD11" i="22"/>
  <c r="AC11" i="22"/>
  <c r="AB11" i="22"/>
  <c r="AA11" i="22"/>
  <c r="Z11" i="22"/>
  <c r="Y11" i="22"/>
  <c r="X11" i="22"/>
  <c r="W11" i="22"/>
  <c r="V11" i="22"/>
  <c r="U11" i="22"/>
  <c r="T11" i="22"/>
  <c r="S11" i="22"/>
  <c r="R11" i="22"/>
  <c r="Q11" i="22"/>
  <c r="P11" i="22"/>
  <c r="O11" i="22"/>
  <c r="N11" i="22"/>
  <c r="M11" i="22"/>
  <c r="L11" i="22"/>
  <c r="K11" i="22"/>
  <c r="J11" i="22"/>
  <c r="I11" i="22"/>
  <c r="H11" i="22"/>
  <c r="G11" i="22"/>
  <c r="F11" i="22"/>
  <c r="E11" i="22"/>
  <c r="D11" i="22"/>
  <c r="C11" i="22"/>
  <c r="AG10" i="22"/>
  <c r="AF10" i="22"/>
  <c r="AE10" i="22"/>
  <c r="AD10" i="22"/>
  <c r="AC10" i="22"/>
  <c r="AB10" i="22"/>
  <c r="AA10" i="22"/>
  <c r="Z10" i="22"/>
  <c r="Y10" i="22"/>
  <c r="X10" i="22"/>
  <c r="W10" i="22"/>
  <c r="V10" i="22"/>
  <c r="U10" i="22"/>
  <c r="T10" i="22"/>
  <c r="S10" i="22"/>
  <c r="R10" i="22"/>
  <c r="Q10" i="22"/>
  <c r="P10" i="22"/>
  <c r="O10" i="22"/>
  <c r="N10" i="22"/>
  <c r="M10" i="22"/>
  <c r="L10" i="22"/>
  <c r="K10" i="22"/>
  <c r="J10" i="22"/>
  <c r="I10" i="22"/>
  <c r="H10" i="22"/>
  <c r="G10" i="22"/>
  <c r="F10" i="22"/>
  <c r="E10" i="22"/>
  <c r="D10" i="22"/>
  <c r="C10" i="22"/>
  <c r="AG25" i="47084" l="1"/>
  <c r="AF25" i="47084"/>
  <c r="AE25" i="47084"/>
  <c r="AD25" i="47084"/>
  <c r="AC25" i="47084"/>
  <c r="AB25" i="47084"/>
  <c r="AA25" i="47084"/>
  <c r="Z25" i="47084"/>
  <c r="Y25" i="47084"/>
  <c r="X25" i="47084"/>
  <c r="W25" i="47084"/>
  <c r="V25" i="47084"/>
  <c r="U25" i="47084"/>
  <c r="T25" i="47084"/>
  <c r="S25" i="47084"/>
  <c r="R25" i="47084"/>
  <c r="Q25" i="47084"/>
  <c r="P25" i="47084"/>
  <c r="O25" i="47084"/>
  <c r="N25" i="47084"/>
  <c r="M25" i="47084"/>
  <c r="L25" i="47084"/>
  <c r="K25" i="47084"/>
  <c r="J25" i="47084"/>
  <c r="I25" i="47084"/>
  <c r="H25" i="47084"/>
  <c r="G25" i="47084"/>
  <c r="F25" i="47084"/>
  <c r="E25" i="47084"/>
  <c r="D25" i="47084"/>
  <c r="AG17" i="47084"/>
  <c r="AF17" i="47084"/>
  <c r="AE17" i="47084"/>
  <c r="AD17" i="47084"/>
  <c r="AC17" i="47084"/>
  <c r="AB17" i="47084"/>
  <c r="AA17" i="47084"/>
  <c r="Z17" i="47084"/>
  <c r="Y17" i="47084"/>
  <c r="X17" i="47084"/>
  <c r="W17" i="47084"/>
  <c r="V17" i="47084"/>
  <c r="U17" i="47084"/>
  <c r="T17" i="47084"/>
  <c r="S17" i="47084"/>
  <c r="R17" i="47084"/>
  <c r="Q17" i="47084"/>
  <c r="P17" i="47084"/>
  <c r="O17" i="47084"/>
  <c r="N17" i="47084"/>
  <c r="M17" i="47084"/>
  <c r="L17" i="47084"/>
  <c r="K17" i="47084"/>
  <c r="J17" i="47084"/>
  <c r="I17" i="47084"/>
  <c r="H17" i="47084"/>
  <c r="G17" i="47084"/>
  <c r="F17" i="47084"/>
  <c r="E17" i="47084"/>
  <c r="D17" i="47084"/>
  <c r="AG10" i="47084"/>
  <c r="AF10" i="47084"/>
  <c r="AE10" i="47084"/>
  <c r="AD10" i="47084"/>
  <c r="AC10" i="47084"/>
  <c r="AB10" i="47084"/>
  <c r="AA10" i="47084"/>
  <c r="Z10" i="47084"/>
  <c r="Y10" i="47084"/>
  <c r="X10" i="47084"/>
  <c r="W10" i="47084"/>
  <c r="V10" i="47084"/>
  <c r="U10" i="47084"/>
  <c r="T10" i="47084"/>
  <c r="S10" i="47084"/>
  <c r="R10" i="47084"/>
  <c r="Q10" i="47084"/>
  <c r="P10" i="47084"/>
  <c r="O10" i="47084"/>
  <c r="N10" i="47084"/>
  <c r="M10" i="47084"/>
  <c r="L10" i="47084"/>
  <c r="K10" i="47084"/>
  <c r="J10" i="47084"/>
  <c r="I10" i="47084"/>
  <c r="H10" i="47084"/>
  <c r="G10" i="47084"/>
  <c r="F10" i="47084"/>
  <c r="E10" i="47084"/>
  <c r="D10" i="47084"/>
  <c r="D9" i="11" l="1"/>
  <c r="D4" i="11"/>
  <c r="C167" i="47084" l="1"/>
  <c r="B166" i="47084"/>
  <c r="C92" i="2" l="1"/>
  <c r="B91" i="2"/>
  <c r="AG24" i="47084" l="1"/>
  <c r="AF24" i="47084"/>
  <c r="AD24" i="47084"/>
  <c r="AA24" i="47084"/>
  <c r="Z24" i="47084"/>
  <c r="Y24" i="47084"/>
  <c r="X24" i="47084"/>
  <c r="W24" i="47084"/>
  <c r="V24" i="47084"/>
  <c r="U24" i="47084"/>
  <c r="S24" i="47084"/>
  <c r="R24" i="47084"/>
  <c r="Q24" i="47084"/>
  <c r="P24" i="47084"/>
  <c r="O24" i="47084"/>
  <c r="M24" i="47084"/>
  <c r="L24" i="47084"/>
  <c r="K24" i="47084"/>
  <c r="I24" i="47084"/>
  <c r="G24" i="47084"/>
  <c r="F24" i="47084"/>
  <c r="D24" i="47084"/>
  <c r="C24" i="47084"/>
  <c r="AG30" i="47084"/>
  <c r="AE30" i="47084"/>
  <c r="AD30" i="47084"/>
  <c r="AB30" i="47084"/>
  <c r="AA30" i="47084"/>
  <c r="Z30" i="47084"/>
  <c r="Y30" i="47084"/>
  <c r="X30" i="47084"/>
  <c r="W30" i="47084"/>
  <c r="V30" i="47084"/>
  <c r="U30" i="47084"/>
  <c r="T30" i="47084"/>
  <c r="S30" i="47084"/>
  <c r="R30" i="47084"/>
  <c r="Q30" i="47084"/>
  <c r="P30" i="47084"/>
  <c r="O30" i="47084"/>
  <c r="N30" i="47084"/>
  <c r="M30" i="47084"/>
  <c r="L30" i="47084"/>
  <c r="J30" i="47084"/>
  <c r="I30" i="47084"/>
  <c r="H30" i="47084"/>
  <c r="G30" i="47084"/>
  <c r="F30" i="47084"/>
  <c r="E30" i="47084"/>
  <c r="D30" i="47084"/>
  <c r="C30" i="47084"/>
  <c r="R23" i="28"/>
  <c r="R25" i="28" s="1"/>
  <c r="AA8" i="47084"/>
  <c r="G4" i="16"/>
  <c r="G12" i="1"/>
  <c r="L38" i="47089"/>
  <c r="L52" i="47089" s="1"/>
  <c r="K38" i="47089"/>
  <c r="K52" i="47089" s="1"/>
  <c r="J38" i="47089"/>
  <c r="J52" i="47089" s="1"/>
  <c r="I38" i="47089"/>
  <c r="I52" i="47089" s="1"/>
  <c r="H38" i="47089"/>
  <c r="H52" i="47089" s="1"/>
  <c r="G38" i="47089"/>
  <c r="G52" i="47089" s="1"/>
  <c r="F38" i="47089"/>
  <c r="F52" i="47089" s="1"/>
  <c r="E38" i="47089"/>
  <c r="E52" i="47089" s="1"/>
  <c r="D38" i="47089"/>
  <c r="D52" i="47089" s="1"/>
  <c r="C38" i="47089"/>
  <c r="C52" i="47089" s="1"/>
  <c r="L21" i="47089"/>
  <c r="L51" i="47089" s="1"/>
  <c r="K21" i="47089"/>
  <c r="K51" i="47089" s="1"/>
  <c r="J21" i="47089"/>
  <c r="J51" i="47089" s="1"/>
  <c r="I21" i="47089"/>
  <c r="I51" i="47089" s="1"/>
  <c r="H21" i="47089"/>
  <c r="H51" i="47089" s="1"/>
  <c r="G21" i="47089"/>
  <c r="G51" i="47089" s="1"/>
  <c r="F21" i="47089"/>
  <c r="F51" i="47089" s="1"/>
  <c r="E21" i="47089"/>
  <c r="E51" i="47089" s="1"/>
  <c r="D21" i="47089"/>
  <c r="D51" i="47089" s="1"/>
  <c r="C21" i="47089"/>
  <c r="C51" i="47089" s="1"/>
  <c r="L10" i="47089"/>
  <c r="L50" i="47089" s="1"/>
  <c r="K10" i="47089"/>
  <c r="K50" i="47089" s="1"/>
  <c r="J10" i="47089"/>
  <c r="J50" i="47089" s="1"/>
  <c r="I10" i="47089"/>
  <c r="I50" i="47089" s="1"/>
  <c r="H10" i="47089"/>
  <c r="H50" i="47089" s="1"/>
  <c r="G10" i="47089"/>
  <c r="G50" i="47089" s="1"/>
  <c r="F10" i="47089"/>
  <c r="F50" i="47089" s="1"/>
  <c r="E10" i="47089"/>
  <c r="E50" i="47089" s="1"/>
  <c r="D10" i="47089"/>
  <c r="D50" i="47089" s="1"/>
  <c r="C10" i="47089"/>
  <c r="C50" i="47089" s="1"/>
  <c r="L4" i="47089"/>
  <c r="L49" i="47089" s="1"/>
  <c r="K4" i="47089"/>
  <c r="K49" i="47089" s="1"/>
  <c r="J4" i="47089"/>
  <c r="J49" i="47089" s="1"/>
  <c r="I4" i="47089"/>
  <c r="I49" i="47089" s="1"/>
  <c r="H4" i="47089"/>
  <c r="H49" i="47089" s="1"/>
  <c r="G4" i="47089"/>
  <c r="G49" i="47089" s="1"/>
  <c r="F4" i="47089"/>
  <c r="F49" i="47089" s="1"/>
  <c r="E4" i="47089"/>
  <c r="E49" i="47089" s="1"/>
  <c r="D4" i="47089"/>
  <c r="D49" i="47089" s="1"/>
  <c r="C4" i="47089"/>
  <c r="C49" i="47089" s="1"/>
  <c r="AG15" i="26"/>
  <c r="AG23" i="26" s="1"/>
  <c r="AG5" i="26" s="1"/>
  <c r="AF15" i="26"/>
  <c r="AF23" i="26" s="1"/>
  <c r="AF5" i="26" s="1"/>
  <c r="AE15" i="26"/>
  <c r="AE23" i="26" s="1"/>
  <c r="AE5" i="26" s="1"/>
  <c r="AD15" i="26"/>
  <c r="AD23" i="26" s="1"/>
  <c r="AD5" i="26" s="1"/>
  <c r="AC15" i="26"/>
  <c r="AC23" i="26" s="1"/>
  <c r="AC5" i="26" s="1"/>
  <c r="AB15" i="26"/>
  <c r="AB23" i="26" s="1"/>
  <c r="AB5" i="26" s="1"/>
  <c r="AA15" i="26"/>
  <c r="AA23" i="26" s="1"/>
  <c r="AA5" i="26" s="1"/>
  <c r="Z15" i="26"/>
  <c r="Z23" i="26" s="1"/>
  <c r="Z5" i="26" s="1"/>
  <c r="Y15" i="26"/>
  <c r="Y23" i="26" s="1"/>
  <c r="Y5" i="26" s="1"/>
  <c r="X15" i="26"/>
  <c r="X23" i="26" s="1"/>
  <c r="X5" i="26" s="1"/>
  <c r="W15" i="26"/>
  <c r="W23" i="26" s="1"/>
  <c r="W5" i="26" s="1"/>
  <c r="V15" i="26"/>
  <c r="V23" i="26" s="1"/>
  <c r="V5" i="26" s="1"/>
  <c r="U15" i="26"/>
  <c r="U23" i="26" s="1"/>
  <c r="U5" i="26" s="1"/>
  <c r="T15" i="26"/>
  <c r="T23" i="26" s="1"/>
  <c r="T5" i="26" s="1"/>
  <c r="S15" i="26"/>
  <c r="S23" i="26" s="1"/>
  <c r="S5" i="26" s="1"/>
  <c r="R15" i="26"/>
  <c r="R23" i="26" s="1"/>
  <c r="R5" i="26" s="1"/>
  <c r="Q15" i="26"/>
  <c r="Q23" i="26" s="1"/>
  <c r="Q5" i="26" s="1"/>
  <c r="P15" i="26"/>
  <c r="P23" i="26" s="1"/>
  <c r="P5" i="26" s="1"/>
  <c r="O15" i="26"/>
  <c r="O23" i="26" s="1"/>
  <c r="O5" i="26" s="1"/>
  <c r="N15" i="26"/>
  <c r="N23" i="26" s="1"/>
  <c r="N5" i="26" s="1"/>
  <c r="M15" i="26"/>
  <c r="M23" i="26" s="1"/>
  <c r="M5" i="26" s="1"/>
  <c r="L15" i="26"/>
  <c r="L23" i="26" s="1"/>
  <c r="L5" i="26" s="1"/>
  <c r="K15" i="26"/>
  <c r="K23" i="26" s="1"/>
  <c r="K5" i="26" s="1"/>
  <c r="J15" i="26"/>
  <c r="J23" i="26" s="1"/>
  <c r="J5" i="26" s="1"/>
  <c r="I15" i="26"/>
  <c r="I23" i="26" s="1"/>
  <c r="I5" i="26" s="1"/>
  <c r="H15" i="26"/>
  <c r="H23" i="26" s="1"/>
  <c r="H5" i="26" s="1"/>
  <c r="G15" i="26"/>
  <c r="G23" i="26" s="1"/>
  <c r="G5" i="26" s="1"/>
  <c r="F15" i="26"/>
  <c r="F23" i="26" s="1"/>
  <c r="F5" i="26" s="1"/>
  <c r="E15" i="26"/>
  <c r="E23" i="26" s="1"/>
  <c r="E5" i="26" s="1"/>
  <c r="D15" i="26"/>
  <c r="D23" i="26" s="1"/>
  <c r="D5" i="26" s="1"/>
  <c r="C15" i="26"/>
  <c r="C23" i="26" s="1"/>
  <c r="C5" i="26" s="1"/>
  <c r="AG27" i="26"/>
  <c r="AG6" i="26" s="1"/>
  <c r="AG9" i="47084" s="1"/>
  <c r="AF27" i="26"/>
  <c r="AF6" i="26" s="1"/>
  <c r="AF9" i="47084" s="1"/>
  <c r="AE27" i="26"/>
  <c r="AD27" i="26"/>
  <c r="AC27" i="26"/>
  <c r="AC6" i="26" s="1"/>
  <c r="AC9" i="47084" s="1"/>
  <c r="AB27" i="26"/>
  <c r="AB6" i="26" s="1"/>
  <c r="AB9" i="47084" s="1"/>
  <c r="AA27" i="26"/>
  <c r="Z27" i="26"/>
  <c r="Z6" i="26" s="1"/>
  <c r="Z9" i="47084" s="1"/>
  <c r="Y27" i="26"/>
  <c r="Y6" i="26" s="1"/>
  <c r="Y9" i="47084" s="1"/>
  <c r="X27" i="26"/>
  <c r="X6" i="26" s="1"/>
  <c r="X9" i="47084" s="1"/>
  <c r="W27" i="26"/>
  <c r="V27" i="26"/>
  <c r="U27" i="26"/>
  <c r="T27" i="26"/>
  <c r="T6" i="26" s="1"/>
  <c r="T9" i="47084" s="1"/>
  <c r="S27" i="26"/>
  <c r="R27" i="26"/>
  <c r="R6" i="26" s="1"/>
  <c r="R9" i="47084" s="1"/>
  <c r="Q27" i="26"/>
  <c r="Q6" i="26" s="1"/>
  <c r="Q9" i="47084" s="1"/>
  <c r="P27" i="26"/>
  <c r="O27" i="26"/>
  <c r="N27" i="26"/>
  <c r="N6" i="26" s="1"/>
  <c r="N9" i="47084" s="1"/>
  <c r="M27" i="26"/>
  <c r="L27" i="26"/>
  <c r="L6" i="26" s="1"/>
  <c r="L9" i="47084" s="1"/>
  <c r="K27" i="26"/>
  <c r="J27" i="26"/>
  <c r="J6" i="26" s="1"/>
  <c r="J9" i="47084" s="1"/>
  <c r="I27" i="26"/>
  <c r="I6" i="26" s="1"/>
  <c r="I9" i="47084" s="1"/>
  <c r="H27" i="26"/>
  <c r="H6" i="26" s="1"/>
  <c r="H9" i="47084" s="1"/>
  <c r="G27" i="26"/>
  <c r="F27" i="26"/>
  <c r="E27" i="26"/>
  <c r="E6" i="26" s="1"/>
  <c r="E9" i="47084" s="1"/>
  <c r="D27" i="26"/>
  <c r="D6" i="26" s="1"/>
  <c r="D9" i="47084" s="1"/>
  <c r="C27" i="26"/>
  <c r="S23" i="28"/>
  <c r="S25" i="28" s="1"/>
  <c r="J3" i="3960"/>
  <c r="A1" i="11" s="1"/>
  <c r="AG4" i="47089"/>
  <c r="AG49" i="47089" s="1"/>
  <c r="AG10" i="47089"/>
  <c r="AG50" i="47089" s="1"/>
  <c r="AG21" i="47089"/>
  <c r="AG51" i="47089" s="1"/>
  <c r="AG38" i="47089"/>
  <c r="AG52" i="47089" s="1"/>
  <c r="AF4" i="47089"/>
  <c r="AF49" i="47089" s="1"/>
  <c r="AF10" i="47089"/>
  <c r="AF50" i="47089" s="1"/>
  <c r="AF21" i="47089"/>
  <c r="AF51" i="47089" s="1"/>
  <c r="AF38" i="47089"/>
  <c r="AF52" i="47089" s="1"/>
  <c r="AE4" i="47089"/>
  <c r="AE49" i="47089" s="1"/>
  <c r="AE10" i="47089"/>
  <c r="AE50" i="47089" s="1"/>
  <c r="AE21" i="47089"/>
  <c r="AE51" i="47089" s="1"/>
  <c r="AE38" i="47089"/>
  <c r="AE52" i="47089" s="1"/>
  <c r="AD4" i="47089"/>
  <c r="AD49" i="47089" s="1"/>
  <c r="AD10" i="47089"/>
  <c r="AD50" i="47089" s="1"/>
  <c r="AD21" i="47089"/>
  <c r="AD51" i="47089" s="1"/>
  <c r="AD38" i="47089"/>
  <c r="AD52" i="47089" s="1"/>
  <c r="AC4" i="47089"/>
  <c r="AC49" i="47089" s="1"/>
  <c r="AC10" i="47089"/>
  <c r="AC50" i="47089" s="1"/>
  <c r="AC21" i="47089"/>
  <c r="AC51" i="47089" s="1"/>
  <c r="AC38" i="47089"/>
  <c r="AC52" i="47089" s="1"/>
  <c r="AB4" i="47089"/>
  <c r="AB49" i="47089" s="1"/>
  <c r="AB10" i="47089"/>
  <c r="AB50" i="47089" s="1"/>
  <c r="AB21" i="47089"/>
  <c r="AB51" i="47089" s="1"/>
  <c r="AB38" i="47089"/>
  <c r="AB52" i="47089" s="1"/>
  <c r="AA4" i="47089"/>
  <c r="AA49" i="47089" s="1"/>
  <c r="AA10" i="47089"/>
  <c r="AA50" i="47089" s="1"/>
  <c r="AA21" i="47089"/>
  <c r="AA51" i="47089" s="1"/>
  <c r="AA38" i="47089"/>
  <c r="AA52" i="47089" s="1"/>
  <c r="Z4" i="47089"/>
  <c r="Z49" i="47089" s="1"/>
  <c r="Z10" i="47089"/>
  <c r="Z50" i="47089" s="1"/>
  <c r="Z21" i="47089"/>
  <c r="Z51" i="47089" s="1"/>
  <c r="Z38" i="47089"/>
  <c r="Z52" i="47089" s="1"/>
  <c r="Y4" i="47089"/>
  <c r="Y49" i="47089" s="1"/>
  <c r="Y10" i="47089"/>
  <c r="Y50" i="47089" s="1"/>
  <c r="Y21" i="47089"/>
  <c r="Y51" i="47089" s="1"/>
  <c r="Y38" i="47089"/>
  <c r="Y52" i="47089" s="1"/>
  <c r="X4" i="47089"/>
  <c r="X49" i="47089" s="1"/>
  <c r="X10" i="47089"/>
  <c r="X50" i="47089" s="1"/>
  <c r="X21" i="47089"/>
  <c r="X51" i="47089" s="1"/>
  <c r="X38" i="47089"/>
  <c r="X52" i="47089" s="1"/>
  <c r="W4" i="47089"/>
  <c r="W49" i="47089" s="1"/>
  <c r="W10" i="47089"/>
  <c r="W50" i="47089" s="1"/>
  <c r="W21" i="47089"/>
  <c r="W51" i="47089" s="1"/>
  <c r="W38" i="47089"/>
  <c r="W52" i="47089" s="1"/>
  <c r="V4" i="47089"/>
  <c r="V49" i="47089" s="1"/>
  <c r="V10" i="47089"/>
  <c r="V50" i="47089" s="1"/>
  <c r="V21" i="47089"/>
  <c r="V51" i="47089" s="1"/>
  <c r="V38" i="47089"/>
  <c r="V52" i="47089" s="1"/>
  <c r="U4" i="47089"/>
  <c r="U49" i="47089" s="1"/>
  <c r="U10" i="47089"/>
  <c r="U50" i="47089" s="1"/>
  <c r="U21" i="47089"/>
  <c r="U51" i="47089" s="1"/>
  <c r="U38" i="47089"/>
  <c r="U52" i="47089" s="1"/>
  <c r="T4" i="47089"/>
  <c r="T49" i="47089" s="1"/>
  <c r="T10" i="47089"/>
  <c r="T50" i="47089" s="1"/>
  <c r="T21" i="47089"/>
  <c r="T51" i="47089" s="1"/>
  <c r="T38" i="47089"/>
  <c r="T52" i="47089" s="1"/>
  <c r="S4" i="47089"/>
  <c r="S49" i="47089" s="1"/>
  <c r="S10" i="47089"/>
  <c r="S50" i="47089" s="1"/>
  <c r="S21" i="47089"/>
  <c r="S51" i="47089" s="1"/>
  <c r="S38" i="47089"/>
  <c r="S52" i="47089" s="1"/>
  <c r="R4" i="47089"/>
  <c r="R49" i="47089" s="1"/>
  <c r="R10" i="47089"/>
  <c r="R50" i="47089" s="1"/>
  <c r="R21" i="47089"/>
  <c r="R51" i="47089" s="1"/>
  <c r="R38" i="47089"/>
  <c r="R52" i="47089" s="1"/>
  <c r="Q4" i="47089"/>
  <c r="Q49" i="47089" s="1"/>
  <c r="Q10" i="47089"/>
  <c r="Q50" i="47089" s="1"/>
  <c r="Q21" i="47089"/>
  <c r="Q51" i="47089" s="1"/>
  <c r="Q38" i="47089"/>
  <c r="Q52" i="47089" s="1"/>
  <c r="P4" i="47089"/>
  <c r="P49" i="47089" s="1"/>
  <c r="P10" i="47089"/>
  <c r="P50" i="47089" s="1"/>
  <c r="P21" i="47089"/>
  <c r="P51" i="47089" s="1"/>
  <c r="P38" i="47089"/>
  <c r="P52" i="47089" s="1"/>
  <c r="O4" i="47089"/>
  <c r="O49" i="47089" s="1"/>
  <c r="O10" i="47089"/>
  <c r="O50" i="47089" s="1"/>
  <c r="O21" i="47089"/>
  <c r="O51" i="47089" s="1"/>
  <c r="O38" i="47089"/>
  <c r="O52" i="47089" s="1"/>
  <c r="N4" i="47089"/>
  <c r="N49" i="47089" s="1"/>
  <c r="N10" i="47089"/>
  <c r="N50" i="47089" s="1"/>
  <c r="N21" i="47089"/>
  <c r="N51" i="47089" s="1"/>
  <c r="N38" i="47089"/>
  <c r="N52" i="47089" s="1"/>
  <c r="M4" i="47089"/>
  <c r="M49" i="47089" s="1"/>
  <c r="M10" i="47089"/>
  <c r="M50" i="47089" s="1"/>
  <c r="M21" i="47089"/>
  <c r="M51" i="47089" s="1"/>
  <c r="M38" i="47089"/>
  <c r="M52" i="47089" s="1"/>
  <c r="C27" i="47084"/>
  <c r="C25" i="24"/>
  <c r="C7" i="16"/>
  <c r="AG19" i="11"/>
  <c r="AF19" i="11"/>
  <c r="AE19" i="11"/>
  <c r="AD19" i="11"/>
  <c r="AC19" i="11"/>
  <c r="AB19" i="11"/>
  <c r="AA19" i="11"/>
  <c r="Z19" i="11"/>
  <c r="Y19" i="11"/>
  <c r="X19" i="11"/>
  <c r="W19" i="11"/>
  <c r="V19" i="11"/>
  <c r="U19" i="11"/>
  <c r="T19" i="11"/>
  <c r="S19" i="11"/>
  <c r="R19" i="11"/>
  <c r="Q19" i="11"/>
  <c r="P19" i="11"/>
  <c r="O19" i="11"/>
  <c r="N19" i="11"/>
  <c r="M19" i="11"/>
  <c r="L19" i="11"/>
  <c r="K19" i="11"/>
  <c r="J19" i="11"/>
  <c r="I19" i="11"/>
  <c r="H19" i="11"/>
  <c r="G19" i="11"/>
  <c r="F19" i="11"/>
  <c r="E19" i="11"/>
  <c r="D19" i="11"/>
  <c r="C19"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H14" i="11"/>
  <c r="G14" i="11"/>
  <c r="F14" i="11"/>
  <c r="E14" i="11"/>
  <c r="D14" i="11"/>
  <c r="C14" i="11"/>
  <c r="AG9" i="11"/>
  <c r="AF9" i="11"/>
  <c r="AE9" i="11"/>
  <c r="AD9" i="11"/>
  <c r="AC9" i="11"/>
  <c r="AB9" i="11"/>
  <c r="AA9" i="11"/>
  <c r="Z9" i="11"/>
  <c r="Y9" i="11"/>
  <c r="X9" i="11"/>
  <c r="W9" i="11"/>
  <c r="V9" i="11"/>
  <c r="U9" i="11"/>
  <c r="T9" i="11"/>
  <c r="S9" i="11"/>
  <c r="R9" i="11"/>
  <c r="Q9" i="11"/>
  <c r="P9" i="11"/>
  <c r="O9" i="11"/>
  <c r="N9" i="11"/>
  <c r="M9" i="11"/>
  <c r="L9" i="11"/>
  <c r="K9" i="11"/>
  <c r="J9" i="11"/>
  <c r="I9" i="11"/>
  <c r="H9" i="11"/>
  <c r="G9" i="11"/>
  <c r="F9" i="11"/>
  <c r="E9" i="11"/>
  <c r="C9" i="11"/>
  <c r="E13" i="47084"/>
  <c r="E19" i="21"/>
  <c r="E5" i="21" s="1"/>
  <c r="E22" i="47084"/>
  <c r="E27" i="47084"/>
  <c r="K3" i="3960"/>
  <c r="F13" i="47084"/>
  <c r="F19" i="21"/>
  <c r="F5" i="21" s="1"/>
  <c r="F27" i="47084"/>
  <c r="G13" i="47084"/>
  <c r="G19" i="21"/>
  <c r="G5" i="21" s="1"/>
  <c r="G27" i="47084"/>
  <c r="H13" i="47084"/>
  <c r="H19" i="21"/>
  <c r="H5" i="21" s="1"/>
  <c r="H27" i="47084"/>
  <c r="I13" i="47084"/>
  <c r="I19" i="21"/>
  <c r="I5" i="21" s="1"/>
  <c r="I27" i="47084"/>
  <c r="J13" i="47084"/>
  <c r="J19" i="21"/>
  <c r="J5" i="21" s="1"/>
  <c r="J27" i="47084"/>
  <c r="K13" i="47084"/>
  <c r="K19" i="21"/>
  <c r="K5" i="21" s="1"/>
  <c r="K27" i="47084"/>
  <c r="L13" i="47084"/>
  <c r="L19" i="21"/>
  <c r="L5" i="21" s="1"/>
  <c r="L27" i="47084"/>
  <c r="M13" i="47084"/>
  <c r="M19" i="21"/>
  <c r="M5" i="21" s="1"/>
  <c r="M27" i="47084"/>
  <c r="N13" i="47084"/>
  <c r="N19" i="21"/>
  <c r="N5" i="21" s="1"/>
  <c r="N27" i="47084"/>
  <c r="O13" i="47084"/>
  <c r="O19" i="21"/>
  <c r="O5" i="21" s="1"/>
  <c r="O27" i="47084"/>
  <c r="P13" i="47084"/>
  <c r="P6" i="21"/>
  <c r="P19" i="21"/>
  <c r="P5" i="21" s="1"/>
  <c r="P27" i="47084"/>
  <c r="Q13" i="47084"/>
  <c r="Q19" i="21"/>
  <c r="Q5" i="21" s="1"/>
  <c r="Q27" i="47084"/>
  <c r="R13" i="47084"/>
  <c r="R19" i="21"/>
  <c r="R5" i="21" s="1"/>
  <c r="R27" i="47084"/>
  <c r="S13" i="47084"/>
  <c r="S6" i="21"/>
  <c r="S19" i="21"/>
  <c r="S5" i="21" s="1"/>
  <c r="S27" i="47084"/>
  <c r="T13" i="47084"/>
  <c r="T19" i="21"/>
  <c r="T5" i="21" s="1"/>
  <c r="T27" i="47084"/>
  <c r="U13" i="47084"/>
  <c r="U6" i="21"/>
  <c r="U19" i="21"/>
  <c r="U5" i="21" s="1"/>
  <c r="U27" i="47084"/>
  <c r="V13" i="47084"/>
  <c r="V19" i="21"/>
  <c r="V5" i="21" s="1"/>
  <c r="V27" i="47084"/>
  <c r="W13" i="47084"/>
  <c r="W6" i="21"/>
  <c r="W19" i="21"/>
  <c r="W5" i="21" s="1"/>
  <c r="W27" i="47084"/>
  <c r="X13" i="47084"/>
  <c r="X6" i="21"/>
  <c r="X19" i="21"/>
  <c r="X5" i="21" s="1"/>
  <c r="X22" i="47084"/>
  <c r="X27" i="47084"/>
  <c r="Y13" i="47084"/>
  <c r="Y6" i="21"/>
  <c r="Y19" i="21"/>
  <c r="Y5" i="21" s="1"/>
  <c r="Y22" i="47084"/>
  <c r="Y27" i="47084"/>
  <c r="Z13" i="47084"/>
  <c r="Z6" i="21"/>
  <c r="Z19" i="21"/>
  <c r="Z5" i="21" s="1"/>
  <c r="Z22" i="47084"/>
  <c r="Z27" i="47084"/>
  <c r="AA13" i="47084"/>
  <c r="AA6" i="21"/>
  <c r="AA19" i="21"/>
  <c r="AA5" i="21" s="1"/>
  <c r="AA22" i="47084"/>
  <c r="AA27" i="47084"/>
  <c r="AB13" i="47084"/>
  <c r="AB6" i="21"/>
  <c r="AB19" i="21"/>
  <c r="AB5" i="21" s="1"/>
  <c r="AB22" i="47084"/>
  <c r="AB27" i="47084"/>
  <c r="AC13" i="47084"/>
  <c r="AC6" i="21"/>
  <c r="AC19" i="21"/>
  <c r="AC5" i="21" s="1"/>
  <c r="AC22" i="47084"/>
  <c r="AC24" i="47084"/>
  <c r="AC27" i="47084"/>
  <c r="AD13" i="47084"/>
  <c r="AD6" i="21"/>
  <c r="AD19" i="21"/>
  <c r="AD5" i="21" s="1"/>
  <c r="AD22" i="47084"/>
  <c r="AD27" i="47084"/>
  <c r="AE13" i="47084"/>
  <c r="AE6" i="21"/>
  <c r="AE19" i="21"/>
  <c r="AE5" i="21" s="1"/>
  <c r="AE22" i="47084"/>
  <c r="AE27" i="47084"/>
  <c r="AF13" i="47084"/>
  <c r="AF6" i="21"/>
  <c r="AF19" i="21"/>
  <c r="AF5" i="21" s="1"/>
  <c r="AF22" i="47084"/>
  <c r="AF27" i="47084"/>
  <c r="AF30" i="47084"/>
  <c r="AG13" i="47084"/>
  <c r="AG19" i="21"/>
  <c r="AG5" i="21" s="1"/>
  <c r="AG22" i="47084"/>
  <c r="AG27" i="47084"/>
  <c r="D13" i="47084"/>
  <c r="D6" i="21"/>
  <c r="D19" i="21"/>
  <c r="D5" i="21" s="1"/>
  <c r="D22" i="47084"/>
  <c r="D23" i="47084"/>
  <c r="D27" i="47084"/>
  <c r="C13" i="47084"/>
  <c r="C14" i="47084"/>
  <c r="C6" i="21"/>
  <c r="C19" i="21"/>
  <c r="C5" i="21" s="1"/>
  <c r="C22" i="47084"/>
  <c r="C23" i="47084"/>
  <c r="G19" i="1"/>
  <c r="AG24" i="11"/>
  <c r="AF24" i="11"/>
  <c r="AE24" i="11"/>
  <c r="AD24" i="11"/>
  <c r="AC24" i="11"/>
  <c r="AB24" i="11"/>
  <c r="AA24" i="11"/>
  <c r="Z24" i="11"/>
  <c r="Y24" i="11"/>
  <c r="X24" i="11"/>
  <c r="W24" i="11"/>
  <c r="V24" i="11"/>
  <c r="U24" i="11"/>
  <c r="T24" i="11"/>
  <c r="S24" i="11"/>
  <c r="R24" i="11"/>
  <c r="Q24" i="11"/>
  <c r="P24" i="11"/>
  <c r="O24" i="11"/>
  <c r="N24" i="11"/>
  <c r="M24" i="11"/>
  <c r="L24" i="11"/>
  <c r="K24" i="11"/>
  <c r="J24" i="11"/>
  <c r="I24" i="11"/>
  <c r="H24" i="11"/>
  <c r="G24" i="11"/>
  <c r="F24" i="11"/>
  <c r="E24" i="11"/>
  <c r="D24" i="11"/>
  <c r="C24" i="11"/>
  <c r="AG4" i="11"/>
  <c r="AF4" i="11"/>
  <c r="AE4" i="11"/>
  <c r="AD4" i="11"/>
  <c r="AC4" i="11"/>
  <c r="AB4" i="11"/>
  <c r="AA4" i="11"/>
  <c r="Z4" i="11"/>
  <c r="Y4" i="11"/>
  <c r="X4" i="11"/>
  <c r="W4" i="11"/>
  <c r="V4" i="11"/>
  <c r="U4" i="11"/>
  <c r="T4" i="11"/>
  <c r="S4" i="11"/>
  <c r="R4" i="11"/>
  <c r="Q4" i="11"/>
  <c r="P4" i="11"/>
  <c r="O4" i="11"/>
  <c r="N4" i="11"/>
  <c r="M4" i="11"/>
  <c r="L4" i="11"/>
  <c r="K4" i="11"/>
  <c r="J4" i="11"/>
  <c r="I4" i="11"/>
  <c r="H4" i="11"/>
  <c r="G4" i="11"/>
  <c r="F4" i="11"/>
  <c r="E4" i="11"/>
  <c r="C4" i="11"/>
  <c r="S13" i="16"/>
  <c r="T13" i="16"/>
  <c r="U13" i="16"/>
  <c r="V13" i="16"/>
  <c r="W13" i="16"/>
  <c r="X4" i="16"/>
  <c r="X7" i="16"/>
  <c r="X10" i="16"/>
  <c r="X13" i="16"/>
  <c r="Y4" i="16"/>
  <c r="Y7" i="16"/>
  <c r="Y10" i="16"/>
  <c r="Y13" i="16"/>
  <c r="Z4" i="16"/>
  <c r="Z7" i="16"/>
  <c r="Z10" i="16"/>
  <c r="Z13" i="16"/>
  <c r="AA4" i="16"/>
  <c r="AA7" i="16"/>
  <c r="AA10" i="16"/>
  <c r="AA13" i="16"/>
  <c r="AB4" i="16"/>
  <c r="AB7" i="16"/>
  <c r="AB10" i="16"/>
  <c r="AB13" i="16"/>
  <c r="AC4" i="16"/>
  <c r="AC7" i="16"/>
  <c r="AC10" i="16"/>
  <c r="AC13" i="16"/>
  <c r="AD4" i="16"/>
  <c r="AD7" i="16"/>
  <c r="AD10" i="16"/>
  <c r="AD13" i="16"/>
  <c r="AE4" i="16"/>
  <c r="AE7" i="16"/>
  <c r="AE10" i="16"/>
  <c r="AE13" i="16"/>
  <c r="AF4" i="16"/>
  <c r="AF7" i="16"/>
  <c r="AF10" i="16"/>
  <c r="AF13" i="16"/>
  <c r="AG4" i="16"/>
  <c r="AG7" i="16"/>
  <c r="AG10" i="16"/>
  <c r="AG13" i="16"/>
  <c r="S6" i="22"/>
  <c r="S7" i="22"/>
  <c r="S9" i="22"/>
  <c r="S8" i="22"/>
  <c r="S12" i="22"/>
  <c r="T6" i="22"/>
  <c r="T7" i="22"/>
  <c r="T9" i="22"/>
  <c r="T8" i="22"/>
  <c r="T12" i="22"/>
  <c r="U6" i="22"/>
  <c r="U7" i="22"/>
  <c r="U9" i="22"/>
  <c r="U8" i="22"/>
  <c r="U12" i="22"/>
  <c r="V6" i="22"/>
  <c r="V7" i="22"/>
  <c r="V9" i="22"/>
  <c r="V8" i="22"/>
  <c r="V12" i="22"/>
  <c r="W6" i="22"/>
  <c r="W7" i="22"/>
  <c r="W9" i="22"/>
  <c r="W8" i="22"/>
  <c r="W12" i="22"/>
  <c r="X6" i="22"/>
  <c r="X7" i="22"/>
  <c r="X9" i="22"/>
  <c r="X8" i="22"/>
  <c r="X12" i="22"/>
  <c r="Y6" i="22"/>
  <c r="Y7" i="22"/>
  <c r="Y9" i="22"/>
  <c r="Y8" i="22"/>
  <c r="Y12" i="22"/>
  <c r="Z6" i="22"/>
  <c r="Z7" i="22"/>
  <c r="Z9" i="22"/>
  <c r="Z8" i="22"/>
  <c r="Z12" i="22"/>
  <c r="AA6" i="22"/>
  <c r="AA7" i="22"/>
  <c r="AA9" i="22"/>
  <c r="AA8" i="22"/>
  <c r="AA12" i="22"/>
  <c r="AB6" i="22"/>
  <c r="AB7" i="22"/>
  <c r="AB9" i="22"/>
  <c r="AB8" i="22"/>
  <c r="AB12" i="22"/>
  <c r="AC6" i="22"/>
  <c r="AC7" i="22"/>
  <c r="AC9" i="22"/>
  <c r="AC8" i="22"/>
  <c r="AC12" i="22"/>
  <c r="AD6" i="22"/>
  <c r="AD7" i="22"/>
  <c r="AD9" i="22"/>
  <c r="AD8" i="22"/>
  <c r="AD12" i="22"/>
  <c r="AE6" i="22"/>
  <c r="AE7" i="22"/>
  <c r="AE9" i="22"/>
  <c r="AE8" i="22"/>
  <c r="AE12" i="22"/>
  <c r="AF6" i="22"/>
  <c r="AF7" i="22"/>
  <c r="AF9" i="22"/>
  <c r="AF8" i="22"/>
  <c r="AF12" i="22"/>
  <c r="AG6" i="22"/>
  <c r="AG7" i="22"/>
  <c r="AG9" i="22"/>
  <c r="AG8" i="22"/>
  <c r="AG12" i="22"/>
  <c r="W23" i="28"/>
  <c r="W25" i="28" s="1"/>
  <c r="X16" i="2"/>
  <c r="Y16" i="2"/>
  <c r="Z23" i="28"/>
  <c r="Z25" i="28" s="1"/>
  <c r="AB16" i="2"/>
  <c r="AC23" i="28"/>
  <c r="AC25" i="28" s="1"/>
  <c r="AD23" i="28"/>
  <c r="AD25" i="28" s="1"/>
  <c r="AF23" i="28"/>
  <c r="AF25" i="28" s="1"/>
  <c r="S16" i="28"/>
  <c r="T16" i="28"/>
  <c r="U16" i="28"/>
  <c r="V16" i="28"/>
  <c r="W16" i="28"/>
  <c r="X16" i="28"/>
  <c r="Y16" i="28"/>
  <c r="Z16" i="28"/>
  <c r="AA16" i="28"/>
  <c r="AB16" i="28"/>
  <c r="AC16" i="28"/>
  <c r="AD16" i="28"/>
  <c r="AE16" i="28"/>
  <c r="AF16" i="28"/>
  <c r="AG16" i="28"/>
  <c r="S17" i="28"/>
  <c r="T17" i="28"/>
  <c r="U17" i="28"/>
  <c r="V17" i="28"/>
  <c r="W17" i="28"/>
  <c r="X17" i="28"/>
  <c r="Y17" i="28"/>
  <c r="Z17" i="28"/>
  <c r="AA17" i="28"/>
  <c r="AB17" i="28"/>
  <c r="AC17" i="28"/>
  <c r="AD17" i="28"/>
  <c r="AE17" i="28"/>
  <c r="AF17" i="28"/>
  <c r="AG17" i="28"/>
  <c r="S18" i="28"/>
  <c r="T18" i="28"/>
  <c r="U18" i="28"/>
  <c r="V18" i="28"/>
  <c r="W18" i="28"/>
  <c r="X18" i="28"/>
  <c r="Y18" i="28"/>
  <c r="Z18" i="28"/>
  <c r="AA18" i="28"/>
  <c r="AB18" i="28"/>
  <c r="AC18" i="28"/>
  <c r="AD18" i="28"/>
  <c r="AE18" i="28"/>
  <c r="AF18" i="28"/>
  <c r="AG18" i="28"/>
  <c r="S19" i="28"/>
  <c r="T19" i="28"/>
  <c r="U19" i="28"/>
  <c r="V19" i="28"/>
  <c r="W19" i="28"/>
  <c r="X19" i="28"/>
  <c r="Y19" i="28"/>
  <c r="Z19" i="28"/>
  <c r="AA19" i="28"/>
  <c r="AB19" i="28"/>
  <c r="AC19" i="28"/>
  <c r="AD19" i="28"/>
  <c r="AE19" i="28"/>
  <c r="AF19" i="28"/>
  <c r="AG19" i="28"/>
  <c r="S20" i="28"/>
  <c r="T20" i="28"/>
  <c r="U20" i="28"/>
  <c r="V20" i="28"/>
  <c r="W20" i="28"/>
  <c r="X20" i="28"/>
  <c r="Y20" i="28"/>
  <c r="Z20" i="28"/>
  <c r="AA20" i="28"/>
  <c r="AB20" i="28"/>
  <c r="AC20" i="28"/>
  <c r="AD20" i="28"/>
  <c r="AE20" i="28"/>
  <c r="AF20" i="28"/>
  <c r="AG20" i="28"/>
  <c r="S21" i="28"/>
  <c r="T21" i="28"/>
  <c r="U21" i="28"/>
  <c r="V21" i="28"/>
  <c r="W21" i="28"/>
  <c r="X21" i="28"/>
  <c r="Y21" i="28"/>
  <c r="Z21" i="28"/>
  <c r="AA21" i="28"/>
  <c r="AB21" i="28"/>
  <c r="AC21" i="28"/>
  <c r="AD21" i="28"/>
  <c r="AE21" i="28"/>
  <c r="AF21" i="28"/>
  <c r="AG21" i="28"/>
  <c r="S22" i="28"/>
  <c r="T22" i="28"/>
  <c r="U22" i="28"/>
  <c r="V22" i="28"/>
  <c r="W22" i="28"/>
  <c r="X22" i="28"/>
  <c r="Y22" i="28"/>
  <c r="Z22" i="28"/>
  <c r="AA22" i="28"/>
  <c r="AB22" i="28"/>
  <c r="AC22" i="28"/>
  <c r="AD22" i="28"/>
  <c r="AE22" i="28"/>
  <c r="AF22" i="28"/>
  <c r="AG22" i="28"/>
  <c r="Q19" i="28"/>
  <c r="S59" i="22"/>
  <c r="T59" i="22"/>
  <c r="U59" i="22"/>
  <c r="V59" i="22"/>
  <c r="W59" i="22"/>
  <c r="X59" i="22"/>
  <c r="Y59" i="22"/>
  <c r="Z59" i="22"/>
  <c r="AA59" i="22"/>
  <c r="AB59" i="22"/>
  <c r="AC59" i="22"/>
  <c r="AD59" i="22"/>
  <c r="AE59" i="22"/>
  <c r="AF59" i="22"/>
  <c r="AG59" i="22"/>
  <c r="S60" i="22"/>
  <c r="T60" i="22"/>
  <c r="U60" i="22"/>
  <c r="V60" i="22"/>
  <c r="W60" i="22"/>
  <c r="X60" i="22"/>
  <c r="Y60" i="22"/>
  <c r="Z60" i="22"/>
  <c r="AA60" i="22"/>
  <c r="AB60" i="22"/>
  <c r="AC60" i="22"/>
  <c r="AD60" i="22"/>
  <c r="AE60" i="22"/>
  <c r="AF60" i="22"/>
  <c r="AG60" i="22"/>
  <c r="S23" i="24"/>
  <c r="T23" i="24"/>
  <c r="U23" i="24"/>
  <c r="V23" i="24"/>
  <c r="W23" i="24"/>
  <c r="X23" i="24"/>
  <c r="Y23" i="24"/>
  <c r="Z23" i="24"/>
  <c r="AA23" i="24"/>
  <c r="AB23" i="24"/>
  <c r="AC23" i="24"/>
  <c r="AD23" i="24"/>
  <c r="AE23" i="24"/>
  <c r="AF23" i="24"/>
  <c r="AG23" i="24"/>
  <c r="S24" i="24"/>
  <c r="T24" i="24"/>
  <c r="U24" i="24"/>
  <c r="V24" i="24"/>
  <c r="W24" i="24"/>
  <c r="X24" i="24"/>
  <c r="Y24" i="24"/>
  <c r="Z24" i="24"/>
  <c r="AA24" i="24"/>
  <c r="AB24" i="24"/>
  <c r="AC24" i="24"/>
  <c r="AD24" i="24"/>
  <c r="AE24" i="24"/>
  <c r="AF24" i="24"/>
  <c r="AG24" i="24"/>
  <c r="S25" i="24"/>
  <c r="T25" i="24"/>
  <c r="U25" i="24"/>
  <c r="V25" i="24"/>
  <c r="W25" i="24"/>
  <c r="X25" i="24"/>
  <c r="Y25" i="24"/>
  <c r="Z25" i="24"/>
  <c r="AA25" i="24"/>
  <c r="AB25" i="24"/>
  <c r="AC25" i="24"/>
  <c r="AD25" i="24"/>
  <c r="AE25" i="24"/>
  <c r="AF25" i="24"/>
  <c r="AG25" i="24"/>
  <c r="S26" i="24"/>
  <c r="T26" i="24"/>
  <c r="U26" i="24"/>
  <c r="V26" i="24"/>
  <c r="W26" i="24"/>
  <c r="X26" i="24"/>
  <c r="Y26" i="24"/>
  <c r="Z26" i="24"/>
  <c r="AA26" i="24"/>
  <c r="AB26" i="24"/>
  <c r="AC26" i="24"/>
  <c r="AD26" i="24"/>
  <c r="AE26" i="24"/>
  <c r="AF26" i="24"/>
  <c r="AG26" i="24"/>
  <c r="S27" i="24"/>
  <c r="T27" i="24"/>
  <c r="U27" i="24"/>
  <c r="V27" i="24"/>
  <c r="W27" i="24"/>
  <c r="X27" i="24"/>
  <c r="Y27" i="24"/>
  <c r="Z27" i="24"/>
  <c r="AA27" i="24"/>
  <c r="AB27" i="24"/>
  <c r="AC27" i="24"/>
  <c r="AD27" i="24"/>
  <c r="AE27" i="24"/>
  <c r="AF27" i="24"/>
  <c r="AG27" i="24"/>
  <c r="S29" i="11"/>
  <c r="T29" i="11"/>
  <c r="U29" i="11"/>
  <c r="V29" i="11"/>
  <c r="W29" i="11"/>
  <c r="X29" i="11"/>
  <c r="Y29" i="11"/>
  <c r="Z29" i="11"/>
  <c r="AA29" i="11"/>
  <c r="AB29" i="11"/>
  <c r="AC29" i="11"/>
  <c r="AD29" i="11"/>
  <c r="AE29" i="11"/>
  <c r="AF29" i="11"/>
  <c r="AG29" i="11"/>
  <c r="D12" i="22"/>
  <c r="E12" i="22"/>
  <c r="F12" i="22"/>
  <c r="G12" i="22"/>
  <c r="H12" i="22"/>
  <c r="I12" i="22"/>
  <c r="J12" i="22"/>
  <c r="K12" i="22"/>
  <c r="L12" i="22"/>
  <c r="M12" i="22"/>
  <c r="N12" i="22"/>
  <c r="O12" i="22"/>
  <c r="P12" i="22"/>
  <c r="Q12" i="22"/>
  <c r="R12" i="22"/>
  <c r="C12" i="22"/>
  <c r="D8" i="22"/>
  <c r="E8" i="22"/>
  <c r="F8" i="22"/>
  <c r="G8" i="22"/>
  <c r="H8" i="22"/>
  <c r="I8" i="22"/>
  <c r="J8" i="22"/>
  <c r="K8" i="22"/>
  <c r="L8" i="22"/>
  <c r="M8" i="22"/>
  <c r="N8" i="22"/>
  <c r="O8" i="22"/>
  <c r="P8" i="22"/>
  <c r="Q8" i="22"/>
  <c r="R8" i="22"/>
  <c r="C8" i="22"/>
  <c r="D9" i="22"/>
  <c r="E9" i="22"/>
  <c r="F9" i="22"/>
  <c r="G9" i="22"/>
  <c r="H9" i="22"/>
  <c r="I9" i="22"/>
  <c r="J9" i="22"/>
  <c r="K9" i="22"/>
  <c r="L9" i="22"/>
  <c r="M9" i="22"/>
  <c r="N9" i="22"/>
  <c r="O9" i="22"/>
  <c r="P9" i="22"/>
  <c r="Q9" i="22"/>
  <c r="R9" i="22"/>
  <c r="C9" i="22"/>
  <c r="D7" i="22"/>
  <c r="E7" i="22"/>
  <c r="F7" i="22"/>
  <c r="G7" i="22"/>
  <c r="H7" i="22"/>
  <c r="I7" i="22"/>
  <c r="J7" i="22"/>
  <c r="K7" i="22"/>
  <c r="L7" i="22"/>
  <c r="M7" i="22"/>
  <c r="N7" i="22"/>
  <c r="O7" i="22"/>
  <c r="P7" i="22"/>
  <c r="Q7" i="22"/>
  <c r="R7" i="22"/>
  <c r="D6" i="22"/>
  <c r="E6" i="22"/>
  <c r="F6" i="22"/>
  <c r="G6" i="22"/>
  <c r="H6" i="22"/>
  <c r="I6" i="22"/>
  <c r="J6" i="22"/>
  <c r="K6" i="22"/>
  <c r="L6" i="22"/>
  <c r="M6" i="22"/>
  <c r="N6" i="22"/>
  <c r="O6" i="22"/>
  <c r="P6" i="22"/>
  <c r="Q6" i="22"/>
  <c r="R6" i="22"/>
  <c r="C12" i="3960"/>
  <c r="X39" i="25" s="1"/>
  <c r="D16" i="28"/>
  <c r="E16" i="28"/>
  <c r="F16" i="28"/>
  <c r="G16" i="28"/>
  <c r="H16" i="28"/>
  <c r="I16" i="28"/>
  <c r="J16" i="28"/>
  <c r="K16" i="28"/>
  <c r="L16" i="28"/>
  <c r="M16" i="28"/>
  <c r="N16" i="28"/>
  <c r="O16" i="28"/>
  <c r="P16" i="28"/>
  <c r="Q16" i="28"/>
  <c r="R16" i="28"/>
  <c r="D17" i="28"/>
  <c r="E17" i="28"/>
  <c r="F17" i="28"/>
  <c r="G17" i="28"/>
  <c r="H17" i="28"/>
  <c r="I17" i="28"/>
  <c r="J17" i="28"/>
  <c r="K17" i="28"/>
  <c r="L17" i="28"/>
  <c r="M17" i="28"/>
  <c r="N17" i="28"/>
  <c r="O17" i="28"/>
  <c r="P17" i="28"/>
  <c r="Q17" i="28"/>
  <c r="R17" i="28"/>
  <c r="D18" i="28"/>
  <c r="E18" i="28"/>
  <c r="F18" i="28"/>
  <c r="G18" i="28"/>
  <c r="H18" i="28"/>
  <c r="I18" i="28"/>
  <c r="J18" i="28"/>
  <c r="K18" i="28"/>
  <c r="L18" i="28"/>
  <c r="M18" i="28"/>
  <c r="N18" i="28"/>
  <c r="O18" i="28"/>
  <c r="P18" i="28"/>
  <c r="Q18" i="28"/>
  <c r="R18" i="28"/>
  <c r="D19" i="28"/>
  <c r="E19" i="28"/>
  <c r="F19" i="28"/>
  <c r="G19" i="28"/>
  <c r="H19" i="28"/>
  <c r="I19" i="28"/>
  <c r="J19" i="28"/>
  <c r="K19" i="28"/>
  <c r="L19" i="28"/>
  <c r="M19" i="28"/>
  <c r="N19" i="28"/>
  <c r="O19" i="28"/>
  <c r="P19" i="28"/>
  <c r="R19" i="28"/>
  <c r="D20" i="28"/>
  <c r="E20" i="28"/>
  <c r="F20" i="28"/>
  <c r="G20" i="28"/>
  <c r="H20" i="28"/>
  <c r="I20" i="28"/>
  <c r="J20" i="28"/>
  <c r="K20" i="28"/>
  <c r="L20" i="28"/>
  <c r="M20" i="28"/>
  <c r="N20" i="28"/>
  <c r="O20" i="28"/>
  <c r="P20" i="28"/>
  <c r="Q20" i="28"/>
  <c r="R20" i="28"/>
  <c r="D21" i="28"/>
  <c r="E21" i="28"/>
  <c r="F21" i="28"/>
  <c r="G21" i="28"/>
  <c r="H21" i="28"/>
  <c r="I21" i="28"/>
  <c r="J21" i="28"/>
  <c r="K21" i="28"/>
  <c r="L21" i="28"/>
  <c r="M21" i="28"/>
  <c r="N21" i="28"/>
  <c r="O21" i="28"/>
  <c r="P21" i="28"/>
  <c r="Q21" i="28"/>
  <c r="R21" i="28"/>
  <c r="D22" i="28"/>
  <c r="E22" i="28"/>
  <c r="F22" i="28"/>
  <c r="G22" i="28"/>
  <c r="H22" i="28"/>
  <c r="I22" i="28"/>
  <c r="J22" i="28"/>
  <c r="K22" i="28"/>
  <c r="L22" i="28"/>
  <c r="M22" i="28"/>
  <c r="N22" i="28"/>
  <c r="O22" i="28"/>
  <c r="P22" i="28"/>
  <c r="Q22" i="28"/>
  <c r="R22" i="28"/>
  <c r="D16" i="2"/>
  <c r="G23" i="28"/>
  <c r="G25" i="28" s="1"/>
  <c r="I23" i="28"/>
  <c r="I25" i="28" s="1"/>
  <c r="J16" i="2"/>
  <c r="K16" i="2"/>
  <c r="L23" i="28"/>
  <c r="L25" i="28" s="1"/>
  <c r="O16" i="2"/>
  <c r="C17" i="28"/>
  <c r="C18" i="28"/>
  <c r="C19" i="28"/>
  <c r="C20" i="28"/>
  <c r="C21" i="28"/>
  <c r="C22" i="28"/>
  <c r="C16" i="2"/>
  <c r="C16" i="28"/>
  <c r="D23" i="24"/>
  <c r="E23" i="24"/>
  <c r="F23" i="24"/>
  <c r="G23" i="24"/>
  <c r="H23" i="24"/>
  <c r="I23" i="24"/>
  <c r="J23" i="24"/>
  <c r="K23" i="24"/>
  <c r="L23" i="24"/>
  <c r="M23" i="24"/>
  <c r="N23" i="24"/>
  <c r="O23" i="24"/>
  <c r="P23" i="24"/>
  <c r="Q23" i="24"/>
  <c r="R23" i="24"/>
  <c r="D24" i="24"/>
  <c r="E24" i="24"/>
  <c r="F24" i="24"/>
  <c r="G24" i="24"/>
  <c r="H24" i="24"/>
  <c r="I24" i="24"/>
  <c r="J24" i="24"/>
  <c r="K24" i="24"/>
  <c r="L24" i="24"/>
  <c r="M24" i="24"/>
  <c r="N24" i="24"/>
  <c r="O24" i="24"/>
  <c r="P24" i="24"/>
  <c r="Q24" i="24"/>
  <c r="R24" i="24"/>
  <c r="D25" i="24"/>
  <c r="E25" i="24"/>
  <c r="F25" i="24"/>
  <c r="G25" i="24"/>
  <c r="H25" i="24"/>
  <c r="I25" i="24"/>
  <c r="J25" i="24"/>
  <c r="K25" i="24"/>
  <c r="L25" i="24"/>
  <c r="M25" i="24"/>
  <c r="N25" i="24"/>
  <c r="O25" i="24"/>
  <c r="P25" i="24"/>
  <c r="Q25" i="24"/>
  <c r="R25" i="24"/>
  <c r="D26" i="24"/>
  <c r="E26" i="24"/>
  <c r="F26" i="24"/>
  <c r="G26" i="24"/>
  <c r="H26" i="24"/>
  <c r="I26" i="24"/>
  <c r="J26" i="24"/>
  <c r="K26" i="24"/>
  <c r="L26" i="24"/>
  <c r="M26" i="24"/>
  <c r="N26" i="24"/>
  <c r="O26" i="24"/>
  <c r="P26" i="24"/>
  <c r="Q26" i="24"/>
  <c r="R26" i="24"/>
  <c r="D27" i="24"/>
  <c r="E27" i="24"/>
  <c r="F27" i="24"/>
  <c r="G27" i="24"/>
  <c r="H27" i="24"/>
  <c r="I27" i="24"/>
  <c r="J27" i="24"/>
  <c r="K27" i="24"/>
  <c r="L27" i="24"/>
  <c r="M27" i="24"/>
  <c r="N27" i="24"/>
  <c r="O27" i="24"/>
  <c r="P27" i="24"/>
  <c r="Q27" i="24"/>
  <c r="R27" i="24"/>
  <c r="C26" i="24"/>
  <c r="C27" i="24"/>
  <c r="C11" i="3960"/>
  <c r="J17" i="24" s="1"/>
  <c r="P37" i="25"/>
  <c r="N42" i="25"/>
  <c r="G21" i="1"/>
  <c r="G20" i="1"/>
  <c r="G18" i="1"/>
  <c r="G17" i="1"/>
  <c r="G13" i="1"/>
  <c r="G11" i="1"/>
  <c r="C56" i="47086"/>
  <c r="D56" i="47086"/>
  <c r="E56" i="47086"/>
  <c r="F56" i="47086"/>
  <c r="G56" i="47086"/>
  <c r="H56" i="47086"/>
  <c r="I56" i="47086"/>
  <c r="J56" i="47086"/>
  <c r="K56" i="47086"/>
  <c r="L56" i="47086"/>
  <c r="M56" i="47086"/>
  <c r="N56" i="47086"/>
  <c r="O56" i="47086"/>
  <c r="P56" i="47086"/>
  <c r="Q56" i="47086"/>
  <c r="R56" i="47086"/>
  <c r="S56" i="47086"/>
  <c r="T56" i="47086"/>
  <c r="B162" i="47084"/>
  <c r="B161" i="47084"/>
  <c r="B160" i="47084"/>
  <c r="B159" i="47084"/>
  <c r="Q153" i="47084"/>
  <c r="R153" i="47084"/>
  <c r="N153" i="47084"/>
  <c r="O153" i="47084"/>
  <c r="P153" i="47084"/>
  <c r="E4" i="16"/>
  <c r="E7" i="16"/>
  <c r="E10" i="16"/>
  <c r="E13" i="16"/>
  <c r="D4" i="16"/>
  <c r="D7" i="16"/>
  <c r="D10" i="16"/>
  <c r="D13" i="16"/>
  <c r="C4" i="16"/>
  <c r="C10" i="16"/>
  <c r="C13" i="16"/>
  <c r="F4" i="16"/>
  <c r="F7" i="16"/>
  <c r="F13" i="16"/>
  <c r="G13" i="16"/>
  <c r="H13" i="16"/>
  <c r="I13" i="16"/>
  <c r="J13" i="16"/>
  <c r="K13" i="16"/>
  <c r="L13" i="16"/>
  <c r="R13" i="16"/>
  <c r="Q13" i="16"/>
  <c r="P13" i="16"/>
  <c r="O13" i="16"/>
  <c r="N13" i="16"/>
  <c r="N59" i="22"/>
  <c r="O59" i="22"/>
  <c r="P59" i="22"/>
  <c r="Q59" i="22"/>
  <c r="R59" i="22"/>
  <c r="N60" i="22"/>
  <c r="O60" i="22"/>
  <c r="P60" i="22"/>
  <c r="Q60" i="22"/>
  <c r="R60" i="22"/>
  <c r="N29" i="11"/>
  <c r="O29" i="11"/>
  <c r="P29" i="11"/>
  <c r="Q29" i="11"/>
  <c r="R29" i="11"/>
  <c r="C17" i="47084"/>
  <c r="C25" i="47084"/>
  <c r="D59" i="22"/>
  <c r="E59" i="22"/>
  <c r="F59" i="22"/>
  <c r="G59" i="22"/>
  <c r="H59" i="22"/>
  <c r="I59" i="22"/>
  <c r="J59" i="22"/>
  <c r="K59" i="22"/>
  <c r="L59" i="22"/>
  <c r="M59" i="22"/>
  <c r="D60" i="22"/>
  <c r="E60" i="22"/>
  <c r="F60" i="22"/>
  <c r="G60" i="22"/>
  <c r="H60" i="22"/>
  <c r="I60" i="22"/>
  <c r="J60" i="22"/>
  <c r="K60" i="22"/>
  <c r="L60" i="22"/>
  <c r="M60" i="22"/>
  <c r="C29" i="11"/>
  <c r="D29" i="11"/>
  <c r="E29" i="11"/>
  <c r="F29" i="11"/>
  <c r="G29" i="11"/>
  <c r="H29" i="11"/>
  <c r="I29" i="11"/>
  <c r="J29" i="11"/>
  <c r="K29" i="11"/>
  <c r="L29" i="11"/>
  <c r="M29" i="11"/>
  <c r="M13" i="16"/>
  <c r="C153" i="47084"/>
  <c r="D153" i="47084"/>
  <c r="E153" i="47084"/>
  <c r="F153" i="47084"/>
  <c r="G153" i="47084"/>
  <c r="H153" i="47084"/>
  <c r="I153" i="47084"/>
  <c r="J153" i="47084"/>
  <c r="K153" i="47084"/>
  <c r="L153" i="47084"/>
  <c r="M153" i="47084"/>
  <c r="B153" i="47084"/>
  <c r="B154" i="47084"/>
  <c r="B155" i="47084"/>
  <c r="B156" i="47084"/>
  <c r="B105" i="2"/>
  <c r="B106" i="2"/>
  <c r="B107" i="2"/>
  <c r="B108" i="2"/>
  <c r="B109" i="2"/>
  <c r="E45" i="25"/>
  <c r="I35" i="25"/>
  <c r="AG36" i="25"/>
  <c r="Z37" i="25"/>
  <c r="AE42" i="25"/>
  <c r="X43" i="25"/>
  <c r="U48" i="25"/>
  <c r="V49" i="25"/>
  <c r="AE33" i="25"/>
  <c r="X34" i="25"/>
  <c r="AC39" i="25"/>
  <c r="V40" i="25"/>
  <c r="AB37" i="25"/>
  <c r="AG38" i="25"/>
  <c r="AE44" i="25"/>
  <c r="Y45" i="25"/>
  <c r="AA51" i="25"/>
  <c r="U52" i="25"/>
  <c r="AF36" i="25"/>
  <c r="X38" i="25"/>
  <c r="Z42" i="25"/>
  <c r="T43" i="25"/>
  <c r="U46" i="25"/>
  <c r="X47" i="25"/>
  <c r="Y50" i="25"/>
  <c r="V52" i="25"/>
  <c r="D35" i="25"/>
  <c r="L35" i="25"/>
  <c r="O38" i="25"/>
  <c r="H39" i="25"/>
  <c r="R41" i="25"/>
  <c r="L43" i="25"/>
  <c r="G46" i="25"/>
  <c r="H47" i="25"/>
  <c r="W36" i="25"/>
  <c r="T37" i="25"/>
  <c r="X41" i="25"/>
  <c r="AA42" i="25"/>
  <c r="V46" i="25"/>
  <c r="AE46" i="25"/>
  <c r="AF49" i="25"/>
  <c r="T51" i="25"/>
  <c r="S35" i="25"/>
  <c r="V38" i="25"/>
  <c r="AA43" i="25"/>
  <c r="AB44" i="25"/>
  <c r="AA50" i="25"/>
  <c r="Y51" i="25"/>
  <c r="F35" i="25"/>
  <c r="R36" i="25"/>
  <c r="D40" i="25"/>
  <c r="G41" i="25"/>
  <c r="H44" i="25"/>
  <c r="Q44" i="25"/>
  <c r="J48" i="25"/>
  <c r="K49" i="25"/>
  <c r="N52" i="25"/>
  <c r="C34" i="25"/>
  <c r="T36" i="25"/>
  <c r="Z38" i="25"/>
  <c r="AE43" i="25"/>
  <c r="AB46" i="25"/>
  <c r="Z51" i="25"/>
  <c r="AA52" i="25"/>
  <c r="J36" i="25"/>
  <c r="D37" i="25"/>
  <c r="E40" i="25"/>
  <c r="Q41" i="25"/>
  <c r="R44" i="25"/>
  <c r="F46" i="25"/>
  <c r="D49" i="25"/>
  <c r="L49" i="25"/>
  <c r="O52" i="25"/>
  <c r="C43" i="25"/>
  <c r="AC38" i="25"/>
  <c r="AA39" i="25"/>
  <c r="AG43" i="25"/>
  <c r="AD44" i="25"/>
  <c r="AE48" i="25"/>
  <c r="AC50" i="25"/>
  <c r="E34" i="25"/>
  <c r="N34" i="25"/>
  <c r="E37" i="25"/>
  <c r="O37" i="25"/>
  <c r="F40" i="25"/>
  <c r="I41" i="25"/>
  <c r="P43" i="25"/>
  <c r="J44" i="25"/>
  <c r="Q46" i="25"/>
  <c r="K47" i="25"/>
  <c r="M49" i="25"/>
  <c r="N50" i="25"/>
  <c r="P52" i="25"/>
  <c r="C36" i="25"/>
  <c r="Z34" i="25"/>
  <c r="AC35" i="25"/>
  <c r="T40" i="25"/>
  <c r="V42" i="25"/>
  <c r="V45" i="25"/>
  <c r="W46" i="25"/>
  <c r="S49" i="25"/>
  <c r="T50" i="25"/>
  <c r="E33" i="25"/>
  <c r="N33" i="25"/>
  <c r="K35" i="25"/>
  <c r="F36" i="25"/>
  <c r="R37" i="25"/>
  <c r="L38" i="25"/>
  <c r="J40" i="25"/>
  <c r="D41" i="25"/>
  <c r="P42" i="25"/>
  <c r="J43" i="25"/>
  <c r="H45" i="25"/>
  <c r="Q45" i="25"/>
  <c r="N47" i="25"/>
  <c r="G48" i="25"/>
  <c r="P49" i="25"/>
  <c r="I50" i="25"/>
  <c r="R51" i="25"/>
  <c r="K52" i="25"/>
  <c r="T33" i="25"/>
  <c r="W35" i="25"/>
  <c r="U42" i="25"/>
  <c r="T44" i="25"/>
  <c r="S50" i="25"/>
  <c r="AG51" i="25"/>
  <c r="J35" i="25"/>
  <c r="N36" i="25"/>
  <c r="H40" i="25"/>
  <c r="L41" i="25"/>
  <c r="G45" i="25"/>
  <c r="J46" i="25"/>
  <c r="O49" i="25"/>
  <c r="P50" i="25"/>
  <c r="C45" i="25"/>
  <c r="S41" i="25"/>
  <c r="N39" i="25"/>
  <c r="L44" i="25"/>
  <c r="C33" i="25"/>
  <c r="W39" i="25"/>
  <c r="H42" i="25"/>
  <c r="R45" i="25"/>
  <c r="AD35" i="25"/>
  <c r="AG37" i="25"/>
  <c r="Z44" i="25"/>
  <c r="X46" i="25"/>
  <c r="T52" i="25"/>
  <c r="F33" i="25"/>
  <c r="P36" i="25"/>
  <c r="D38" i="25"/>
  <c r="N41" i="25"/>
  <c r="Q42" i="25"/>
  <c r="L46" i="25"/>
  <c r="O47" i="25"/>
  <c r="R50" i="25"/>
  <c r="D52" i="25"/>
  <c r="AF50" i="25"/>
  <c r="P34" i="25"/>
  <c r="F48" i="25"/>
  <c r="I51" i="25"/>
  <c r="V47" i="25"/>
  <c r="V51" i="25"/>
  <c r="K43" i="25"/>
  <c r="F47" i="25"/>
  <c r="AB33" i="25"/>
  <c r="AE35" i="25"/>
  <c r="AB42" i="25"/>
  <c r="AA44" i="25"/>
  <c r="V50" i="25"/>
  <c r="X52" i="25"/>
  <c r="N35" i="25"/>
  <c r="Q36" i="25"/>
  <c r="L40" i="25"/>
  <c r="O41" i="25"/>
  <c r="J45" i="25"/>
  <c r="M46" i="25"/>
  <c r="R49" i="25"/>
  <c r="D51" i="25"/>
  <c r="Y34" i="25"/>
  <c r="AE38" i="25"/>
  <c r="S47" i="25"/>
  <c r="D36" i="25"/>
  <c r="F42" i="25"/>
  <c r="P45" i="25"/>
  <c r="C37" i="25"/>
  <c r="AA34" i="25"/>
  <c r="X49" i="25"/>
  <c r="R34" i="25"/>
  <c r="O44" i="25"/>
  <c r="H48" i="25"/>
  <c r="V34" i="25"/>
  <c r="AA36" i="25"/>
  <c r="AG42" i="25"/>
  <c r="T45" i="25"/>
  <c r="AD50" i="25"/>
  <c r="AC52" i="25"/>
  <c r="R35" i="25"/>
  <c r="G37" i="25"/>
  <c r="P40" i="25"/>
  <c r="E42" i="25"/>
  <c r="O45" i="25"/>
  <c r="R46" i="25"/>
  <c r="G50" i="25"/>
  <c r="H51" i="25"/>
  <c r="W51" i="25"/>
  <c r="AB34" i="25"/>
  <c r="AG49" i="25"/>
  <c r="T42" i="25"/>
  <c r="O50" i="25"/>
  <c r="I46" i="25"/>
  <c r="L36" i="25"/>
  <c r="F41" i="25"/>
  <c r="AE47" i="25"/>
  <c r="J49" i="25"/>
  <c r="R39" i="25"/>
  <c r="E35" i="25"/>
  <c r="AF45" i="25"/>
  <c r="Z43" i="25"/>
  <c r="K41" i="25"/>
  <c r="AA41" i="25"/>
  <c r="H36" i="25"/>
  <c r="AG39" i="25"/>
  <c r="Q52" i="25"/>
  <c r="Q43" i="25"/>
  <c r="D39" i="25"/>
  <c r="F34" i="25"/>
  <c r="U37" i="25"/>
  <c r="I42" i="25"/>
  <c r="D46" i="25"/>
  <c r="M52" i="25"/>
  <c r="I48" i="25"/>
  <c r="M43" i="25"/>
  <c r="P33" i="25"/>
  <c r="AE51" i="25"/>
  <c r="S44" i="25"/>
  <c r="U14" i="24"/>
  <c r="C24" i="24"/>
  <c r="E6" i="21"/>
  <c r="K6" i="21"/>
  <c r="C23" i="24"/>
  <c r="H6" i="21"/>
  <c r="J6" i="21"/>
  <c r="G6" i="21"/>
  <c r="O6" i="21"/>
  <c r="L6" i="21"/>
  <c r="Q6" i="21"/>
  <c r="I6" i="21"/>
  <c r="N6" i="21"/>
  <c r="V6" i="21"/>
  <c r="M6" i="21"/>
  <c r="R6" i="21"/>
  <c r="T6" i="21"/>
  <c r="F6" i="21"/>
  <c r="AG6" i="21"/>
  <c r="U56" i="47086"/>
  <c r="F8" i="47084"/>
  <c r="G10" i="16"/>
  <c r="F10" i="16"/>
  <c r="G7" i="16"/>
  <c r="F22" i="47084"/>
  <c r="I4" i="16"/>
  <c r="H4" i="16"/>
  <c r="G22" i="47084"/>
  <c r="H10" i="16"/>
  <c r="H7" i="16"/>
  <c r="H22" i="47084"/>
  <c r="J4" i="16"/>
  <c r="I10" i="16"/>
  <c r="I7" i="16"/>
  <c r="I22" i="47084"/>
  <c r="K4" i="16"/>
  <c r="J10" i="16"/>
  <c r="J7" i="16"/>
  <c r="J22" i="47084"/>
  <c r="L4" i="16"/>
  <c r="K10" i="16"/>
  <c r="K7" i="16"/>
  <c r="K22" i="47084"/>
  <c r="M4" i="16"/>
  <c r="L10" i="16"/>
  <c r="L7" i="16"/>
  <c r="L22" i="47084"/>
  <c r="N4" i="16"/>
  <c r="M10" i="16"/>
  <c r="M7" i="16"/>
  <c r="M22" i="47084"/>
  <c r="O4" i="16"/>
  <c r="N10" i="16"/>
  <c r="N7" i="16"/>
  <c r="N22" i="47084"/>
  <c r="P4" i="16"/>
  <c r="O10" i="16"/>
  <c r="O7" i="16"/>
  <c r="O22" i="47084"/>
  <c r="Q4" i="16"/>
  <c r="P10" i="16"/>
  <c r="P7" i="16"/>
  <c r="P22" i="47084"/>
  <c r="R4" i="16"/>
  <c r="Q10" i="16"/>
  <c r="Q7" i="16"/>
  <c r="Q22" i="47084"/>
  <c r="S4" i="16"/>
  <c r="R10" i="16"/>
  <c r="R7" i="16"/>
  <c r="R22" i="47084"/>
  <c r="T4" i="16"/>
  <c r="S10" i="16"/>
  <c r="S7" i="16"/>
  <c r="S22" i="47084"/>
  <c r="U4" i="16"/>
  <c r="T10" i="16"/>
  <c r="T7" i="16"/>
  <c r="T22" i="47084"/>
  <c r="V4" i="16"/>
  <c r="U10" i="16"/>
  <c r="U7" i="16"/>
  <c r="U22" i="47084"/>
  <c r="W4" i="16"/>
  <c r="V10" i="16"/>
  <c r="W10" i="16"/>
  <c r="V7" i="16"/>
  <c r="V22" i="47084"/>
  <c r="W7" i="16"/>
  <c r="W22" i="47084"/>
  <c r="E24" i="47084"/>
  <c r="AB24" i="47084"/>
  <c r="U17" i="24"/>
  <c r="E15" i="24"/>
  <c r="X14" i="24"/>
  <c r="G18" i="24"/>
  <c r="T17" i="24"/>
  <c r="C15" i="24"/>
  <c r="AI6" i="47088" l="1"/>
  <c r="AI9" i="47088" s="1"/>
  <c r="AK12" i="47088"/>
  <c r="AH7" i="47088"/>
  <c r="AL11" i="47088"/>
  <c r="AI11" i="47088"/>
  <c r="AL6" i="47088"/>
  <c r="AL9" i="47088" s="1"/>
  <c r="AH11" i="47088"/>
  <c r="AJ7" i="47088"/>
  <c r="AJ6" i="47088"/>
  <c r="AJ9" i="47088" s="1"/>
  <c r="AJ12" i="47088"/>
  <c r="AK6" i="47088"/>
  <c r="AK9" i="47088" s="1"/>
  <c r="AH6" i="47088"/>
  <c r="AH9" i="47088" s="1"/>
  <c r="AJ11" i="47088"/>
  <c r="AK11" i="47088"/>
  <c r="AK7" i="47088"/>
  <c r="AH12" i="47088"/>
  <c r="AI7" i="47088"/>
  <c r="AI12" i="47088"/>
  <c r="AL12" i="47088"/>
  <c r="AL7" i="47088"/>
  <c r="D30" i="24"/>
  <c r="E30" i="24" s="1"/>
  <c r="F30" i="24" s="1"/>
  <c r="G30" i="24" s="1"/>
  <c r="H30" i="24" s="1"/>
  <c r="I30" i="24" s="1"/>
  <c r="J30" i="24" s="1"/>
  <c r="K30" i="24" s="1"/>
  <c r="L30" i="24" s="1"/>
  <c r="M30" i="24" s="1"/>
  <c r="N30" i="24" s="1"/>
  <c r="O30" i="24" s="1"/>
  <c r="P30" i="24" s="1"/>
  <c r="Q30" i="24" s="1"/>
  <c r="R30" i="24" s="1"/>
  <c r="S30" i="24" s="1"/>
  <c r="T30" i="24" s="1"/>
  <c r="U30" i="24" s="1"/>
  <c r="V30" i="24" s="1"/>
  <c r="W30" i="24" s="1"/>
  <c r="X30" i="24" s="1"/>
  <c r="Y30" i="24" s="1"/>
  <c r="Z30" i="24" s="1"/>
  <c r="AA30" i="24" s="1"/>
  <c r="AB30" i="24" s="1"/>
  <c r="AC30" i="24" s="1"/>
  <c r="AD30" i="24" s="1"/>
  <c r="AE30" i="24" s="1"/>
  <c r="AF30" i="24" s="1"/>
  <c r="AG30" i="24" s="1"/>
  <c r="AH30" i="24" s="1"/>
  <c r="AI30" i="24" s="1"/>
  <c r="AJ30" i="24" s="1"/>
  <c r="AK30" i="24" s="1"/>
  <c r="AL30" i="24" s="1"/>
  <c r="B60" i="22"/>
  <c r="R63" i="22" s="1"/>
  <c r="B59" i="22"/>
  <c r="R62" i="22" s="1"/>
  <c r="Q16" i="22"/>
  <c r="Q26" i="22" s="1"/>
  <c r="I16" i="22"/>
  <c r="I26" i="22" s="1"/>
  <c r="T8" i="21"/>
  <c r="T28" i="21" s="1"/>
  <c r="J8" i="21"/>
  <c r="J28" i="21" s="1"/>
  <c r="C16" i="22"/>
  <c r="C12" i="2" s="1"/>
  <c r="G29" i="47084"/>
  <c r="P29" i="47084"/>
  <c r="X29" i="47084"/>
  <c r="AF29" i="47084"/>
  <c r="H29" i="47084"/>
  <c r="Q29" i="47084"/>
  <c r="Y29" i="47084"/>
  <c r="F29" i="47084"/>
  <c r="I29" i="47084"/>
  <c r="R29" i="47084"/>
  <c r="Z29" i="47084"/>
  <c r="AG29" i="47084"/>
  <c r="J29" i="47084"/>
  <c r="S29" i="47084"/>
  <c r="AA29" i="47084"/>
  <c r="O29" i="47084"/>
  <c r="C29" i="47084"/>
  <c r="L29" i="47084"/>
  <c r="T29" i="47084"/>
  <c r="AB29" i="47084"/>
  <c r="W29" i="47084"/>
  <c r="D29" i="47084"/>
  <c r="M29" i="47084"/>
  <c r="U29" i="47084"/>
  <c r="AD29" i="47084"/>
  <c r="E29" i="47084"/>
  <c r="N29" i="47084"/>
  <c r="V29" i="47084"/>
  <c r="AE29" i="47084"/>
  <c r="I8" i="21"/>
  <c r="C8" i="21"/>
  <c r="C16" i="47084" s="1"/>
  <c r="R16" i="22"/>
  <c r="J16" i="22"/>
  <c r="H16" i="22"/>
  <c r="O16" i="22"/>
  <c r="L16" i="22"/>
  <c r="F16" i="22"/>
  <c r="P33" i="26"/>
  <c r="P35" i="26" s="1"/>
  <c r="P6" i="26"/>
  <c r="P9" i="47084" s="1"/>
  <c r="I11" i="26"/>
  <c r="Q11" i="26"/>
  <c r="Q15" i="2" s="1"/>
  <c r="Y11" i="26"/>
  <c r="AG11" i="26"/>
  <c r="J11" i="26"/>
  <c r="R11" i="26"/>
  <c r="Z11" i="26"/>
  <c r="C33" i="26"/>
  <c r="C6" i="26"/>
  <c r="C9" i="47084" s="1"/>
  <c r="K33" i="26"/>
  <c r="K35" i="26" s="1"/>
  <c r="K6" i="26"/>
  <c r="K9" i="47084" s="1"/>
  <c r="S33" i="26"/>
  <c r="S35" i="26" s="1"/>
  <c r="S6" i="26"/>
  <c r="S9" i="47084" s="1"/>
  <c r="AA33" i="26"/>
  <c r="AA35" i="26" s="1"/>
  <c r="AA6" i="26"/>
  <c r="AA9" i="47084" s="1"/>
  <c r="D11" i="26"/>
  <c r="L11" i="26"/>
  <c r="T11" i="26"/>
  <c r="AB11" i="26"/>
  <c r="E11" i="26"/>
  <c r="AC11" i="26"/>
  <c r="M33" i="26"/>
  <c r="M35" i="26" s="1"/>
  <c r="M6" i="26"/>
  <c r="M9" i="47084" s="1"/>
  <c r="U33" i="26"/>
  <c r="U35" i="26" s="1"/>
  <c r="U6" i="26"/>
  <c r="U9" i="47084" s="1"/>
  <c r="N11" i="26"/>
  <c r="F33" i="26"/>
  <c r="F35" i="26" s="1"/>
  <c r="F6" i="26"/>
  <c r="F9" i="47084" s="1"/>
  <c r="V33" i="26"/>
  <c r="V35" i="26" s="1"/>
  <c r="V6" i="26"/>
  <c r="V9" i="47084" s="1"/>
  <c r="AD33" i="26"/>
  <c r="AD35" i="26" s="1"/>
  <c r="AD6" i="26"/>
  <c r="AD9" i="47084" s="1"/>
  <c r="G33" i="26"/>
  <c r="G35" i="26" s="1"/>
  <c r="G6" i="26"/>
  <c r="G9" i="47084" s="1"/>
  <c r="O33" i="26"/>
  <c r="O35" i="26" s="1"/>
  <c r="O6" i="26"/>
  <c r="O9" i="47084" s="1"/>
  <c r="W33" i="26"/>
  <c r="W35" i="26" s="1"/>
  <c r="W6" i="26"/>
  <c r="W9" i="47084" s="1"/>
  <c r="AE33" i="26"/>
  <c r="AE35" i="26" s="1"/>
  <c r="AE6" i="26"/>
  <c r="AE9" i="47084" s="1"/>
  <c r="H11" i="26"/>
  <c r="X11" i="26"/>
  <c r="AF11" i="26"/>
  <c r="W20" i="16"/>
  <c r="W21" i="16" s="1"/>
  <c r="AG20" i="16"/>
  <c r="AG21" i="16" s="1"/>
  <c r="AE20" i="16"/>
  <c r="AE21" i="16" s="1"/>
  <c r="AC20" i="16"/>
  <c r="AC21" i="16" s="1"/>
  <c r="AA20" i="16"/>
  <c r="AA21" i="16" s="1"/>
  <c r="AC16" i="22"/>
  <c r="U16" i="22"/>
  <c r="AB16" i="22"/>
  <c r="T16" i="22"/>
  <c r="Z16" i="22"/>
  <c r="P16" i="22"/>
  <c r="AF16" i="22"/>
  <c r="X16" i="22"/>
  <c r="G16" i="22"/>
  <c r="AA16" i="22"/>
  <c r="S16" i="22"/>
  <c r="N16" i="22"/>
  <c r="AD16" i="22"/>
  <c r="V16" i="22"/>
  <c r="M16" i="22"/>
  <c r="E16" i="22"/>
  <c r="AG16" i="22"/>
  <c r="Y16" i="22"/>
  <c r="D16" i="22"/>
  <c r="K16" i="22"/>
  <c r="AE16" i="22"/>
  <c r="W16" i="22"/>
  <c r="V20" i="16"/>
  <c r="V21" i="16" s="1"/>
  <c r="U20" i="16"/>
  <c r="U21" i="16" s="1"/>
  <c r="S20" i="16"/>
  <c r="S21" i="16" s="1"/>
  <c r="Q20" i="16"/>
  <c r="Q21" i="16" s="1"/>
  <c r="AF20" i="16"/>
  <c r="AD20" i="16"/>
  <c r="AD21" i="16" s="1"/>
  <c r="AB20" i="16"/>
  <c r="AB21" i="16" s="1"/>
  <c r="Z20" i="16"/>
  <c r="Z21" i="16" s="1"/>
  <c r="X20" i="16"/>
  <c r="X21" i="16" s="1"/>
  <c r="C20" i="16"/>
  <c r="C7" i="2" s="1"/>
  <c r="H20" i="16"/>
  <c r="H21" i="16" s="1"/>
  <c r="T20" i="16"/>
  <c r="R20" i="16"/>
  <c r="R21" i="16" s="1"/>
  <c r="P20" i="16"/>
  <c r="P21" i="16" s="1"/>
  <c r="N20" i="16"/>
  <c r="N21" i="16" s="1"/>
  <c r="L20" i="16"/>
  <c r="L21" i="16" s="1"/>
  <c r="J20" i="16"/>
  <c r="J21" i="16" s="1"/>
  <c r="Y20" i="16"/>
  <c r="Y21" i="16" s="1"/>
  <c r="H156" i="47084"/>
  <c r="J156" i="47084"/>
  <c r="R156" i="47084"/>
  <c r="L156" i="47084"/>
  <c r="Q156" i="47084"/>
  <c r="E156" i="47084"/>
  <c r="P8" i="21"/>
  <c r="P28" i="21" s="1"/>
  <c r="AE8" i="21"/>
  <c r="AE28" i="21" s="1"/>
  <c r="D8" i="21"/>
  <c r="D28" i="21" s="1"/>
  <c r="W8" i="21"/>
  <c r="W28" i="21" s="1"/>
  <c r="X8" i="21"/>
  <c r="X28" i="21" s="1"/>
  <c r="E20" i="16"/>
  <c r="E21" i="16" s="1"/>
  <c r="G20" i="16"/>
  <c r="G21" i="16" s="1"/>
  <c r="O20" i="16"/>
  <c r="O21" i="16" s="1"/>
  <c r="M20" i="16"/>
  <c r="M21" i="16" s="1"/>
  <c r="K20" i="16"/>
  <c r="K21" i="16" s="1"/>
  <c r="I20" i="16"/>
  <c r="I21" i="16" s="1"/>
  <c r="D20" i="16"/>
  <c r="D21" i="16" s="1"/>
  <c r="F20" i="16"/>
  <c r="F21" i="16" s="1"/>
  <c r="AD31" i="11"/>
  <c r="AD37" i="11" s="1"/>
  <c r="X31" i="11"/>
  <c r="X37" i="11" s="1"/>
  <c r="O31" i="11"/>
  <c r="O37" i="11" s="1"/>
  <c r="I31" i="11"/>
  <c r="I37" i="11" s="1"/>
  <c r="C48" i="47089"/>
  <c r="C17" i="2" s="1"/>
  <c r="N8" i="47084"/>
  <c r="I8" i="47084"/>
  <c r="R8" i="47084"/>
  <c r="J8" i="47084"/>
  <c r="C8" i="47084"/>
  <c r="Z8" i="47084"/>
  <c r="V8" i="47084"/>
  <c r="U8" i="47084"/>
  <c r="M8" i="47084"/>
  <c r="AG8" i="47084"/>
  <c r="Y8" i="47084"/>
  <c r="Q8" i="47084"/>
  <c r="P8" i="47084"/>
  <c r="H8" i="47084"/>
  <c r="AF8" i="47084"/>
  <c r="X8" i="47084"/>
  <c r="X11" i="2"/>
  <c r="T8" i="47084"/>
  <c r="S8" i="47084"/>
  <c r="K8" i="47084"/>
  <c r="G8" i="47084"/>
  <c r="G11" i="2"/>
  <c r="AE8" i="47084"/>
  <c r="W8" i="47084"/>
  <c r="AD8" i="47084"/>
  <c r="AD11" i="2"/>
  <c r="AC8" i="47084"/>
  <c r="AC11" i="2"/>
  <c r="AB8" i="47084"/>
  <c r="O8" i="47084"/>
  <c r="C6" i="2"/>
  <c r="W31" i="11"/>
  <c r="W37" i="11" s="1"/>
  <c r="V31" i="11"/>
  <c r="V37" i="11" s="1"/>
  <c r="P31" i="11"/>
  <c r="P37" i="11" s="1"/>
  <c r="K31" i="11"/>
  <c r="K37" i="11" s="1"/>
  <c r="F31" i="11"/>
  <c r="F37" i="11" s="1"/>
  <c r="E31" i="11"/>
  <c r="E37" i="11" s="1"/>
  <c r="AF31" i="11"/>
  <c r="AF37" i="11" s="1"/>
  <c r="U31" i="11"/>
  <c r="U37" i="11" s="1"/>
  <c r="T31" i="11"/>
  <c r="T37" i="11" s="1"/>
  <c r="S31" i="11"/>
  <c r="S37" i="11" s="1"/>
  <c r="Q31" i="11"/>
  <c r="Q37" i="11" s="1"/>
  <c r="L31" i="11"/>
  <c r="L37" i="11" s="1"/>
  <c r="AC31" i="11"/>
  <c r="AC37" i="11" s="1"/>
  <c r="Z31" i="11"/>
  <c r="Z37" i="11" s="1"/>
  <c r="R31" i="11"/>
  <c r="R37" i="11" s="1"/>
  <c r="G31" i="11"/>
  <c r="G37" i="11" s="1"/>
  <c r="AE31" i="11"/>
  <c r="AE37" i="11" s="1"/>
  <c r="M31" i="11"/>
  <c r="M37" i="11" s="1"/>
  <c r="AB31" i="11"/>
  <c r="AB37" i="11" s="1"/>
  <c r="N31" i="11"/>
  <c r="N37" i="11" s="1"/>
  <c r="H31" i="11"/>
  <c r="H37" i="11" s="1"/>
  <c r="J31" i="11"/>
  <c r="J37" i="11" s="1"/>
  <c r="AA31" i="11"/>
  <c r="AA37" i="11" s="1"/>
  <c r="Y31" i="11"/>
  <c r="Y37" i="11" s="1"/>
  <c r="K19" i="47084"/>
  <c r="S19" i="47084"/>
  <c r="D19" i="47084"/>
  <c r="T19" i="47084"/>
  <c r="AB19" i="47084"/>
  <c r="V19" i="47084"/>
  <c r="P19" i="47084"/>
  <c r="I19" i="47084"/>
  <c r="Q19" i="47084"/>
  <c r="R19" i="47084"/>
  <c r="F13" i="21"/>
  <c r="F8" i="21"/>
  <c r="F28" i="21" s="1"/>
  <c r="E13" i="21"/>
  <c r="E8" i="21"/>
  <c r="E28" i="21" s="1"/>
  <c r="AC8" i="21"/>
  <c r="AC28" i="21" s="1"/>
  <c r="M13" i="21"/>
  <c r="M8" i="21"/>
  <c r="M28" i="21" s="1"/>
  <c r="Q13" i="21"/>
  <c r="Q8" i="21"/>
  <c r="Q28" i="21" s="1"/>
  <c r="AB8" i="21"/>
  <c r="AB28" i="21" s="1"/>
  <c r="Y8" i="21"/>
  <c r="Y28" i="21" s="1"/>
  <c r="L13" i="21"/>
  <c r="L8" i="21"/>
  <c r="L28" i="21" s="1"/>
  <c r="N13" i="21"/>
  <c r="N8" i="21"/>
  <c r="N28" i="21" s="1"/>
  <c r="K13" i="21"/>
  <c r="K8" i="21"/>
  <c r="K28" i="21" s="1"/>
  <c r="AD8" i="21"/>
  <c r="AD28" i="21" s="1"/>
  <c r="AA8" i="21"/>
  <c r="AA28" i="21" s="1"/>
  <c r="O13" i="21"/>
  <c r="O8" i="21"/>
  <c r="O28" i="21" s="1"/>
  <c r="G13" i="21"/>
  <c r="G8" i="21"/>
  <c r="G28" i="21" s="1"/>
  <c r="U8" i="21"/>
  <c r="U28" i="21" s="1"/>
  <c r="S8" i="21"/>
  <c r="S28" i="21" s="1"/>
  <c r="R13" i="21"/>
  <c r="R8" i="21"/>
  <c r="R28" i="21" s="1"/>
  <c r="AG13" i="21"/>
  <c r="AG8" i="21"/>
  <c r="AG28" i="21" s="1"/>
  <c r="V13" i="21"/>
  <c r="V8" i="21"/>
  <c r="V28" i="21" s="1"/>
  <c r="H8" i="21"/>
  <c r="H28" i="21" s="1"/>
  <c r="AF8" i="21"/>
  <c r="Z8" i="21"/>
  <c r="Z28" i="21" s="1"/>
  <c r="O23" i="28"/>
  <c r="O25" i="28" s="1"/>
  <c r="C49" i="25"/>
  <c r="K44" i="25"/>
  <c r="O34" i="25"/>
  <c r="AG40" i="25"/>
  <c r="E41" i="25"/>
  <c r="H50" i="25"/>
  <c r="U45" i="25"/>
  <c r="Q48" i="25"/>
  <c r="I39" i="25"/>
  <c r="X48" i="25"/>
  <c r="L52" i="25"/>
  <c r="Y43" i="25"/>
  <c r="AB36" i="25"/>
  <c r="I45" i="25"/>
  <c r="M35" i="25"/>
  <c r="X42" i="25"/>
  <c r="J37" i="25"/>
  <c r="M33" i="25"/>
  <c r="N48" i="25"/>
  <c r="E39" i="25"/>
  <c r="T48" i="25"/>
  <c r="C47" i="25"/>
  <c r="H49" i="25"/>
  <c r="N44" i="25"/>
  <c r="O39" i="25"/>
  <c r="Q34" i="25"/>
  <c r="V48" i="25"/>
  <c r="AF38" i="25"/>
  <c r="O51" i="25"/>
  <c r="H46" i="25"/>
  <c r="L39" i="25"/>
  <c r="AB52" i="25"/>
  <c r="AF42" i="25"/>
  <c r="N51" i="25"/>
  <c r="O43" i="25"/>
  <c r="G35" i="25"/>
  <c r="AD42" i="25"/>
  <c r="E51" i="25"/>
  <c r="N43" i="25"/>
  <c r="L34" i="25"/>
  <c r="AB40" i="25"/>
  <c r="W49" i="25"/>
  <c r="AF39" i="25"/>
  <c r="F45" i="25"/>
  <c r="N37" i="25"/>
  <c r="AE49" i="25"/>
  <c r="Z40" i="25"/>
  <c r="T49" i="25"/>
  <c r="AC34" i="25"/>
  <c r="AF51" i="25"/>
  <c r="AC40" i="25"/>
  <c r="H13" i="21"/>
  <c r="N38" i="25"/>
  <c r="X45" i="25"/>
  <c r="K50" i="25"/>
  <c r="P44" i="25"/>
  <c r="S33" i="25"/>
  <c r="I52" i="25"/>
  <c r="H43" i="25"/>
  <c r="L33" i="25"/>
  <c r="AD38" i="25"/>
  <c r="M38" i="25"/>
  <c r="D47" i="25"/>
  <c r="V43" i="25"/>
  <c r="P47" i="25"/>
  <c r="E38" i="25"/>
  <c r="Y46" i="25"/>
  <c r="J50" i="25"/>
  <c r="AD36" i="25"/>
  <c r="C46" i="25"/>
  <c r="F44" i="25"/>
  <c r="I34" i="25"/>
  <c r="W40" i="25"/>
  <c r="O33" i="25"/>
  <c r="AG48" i="25"/>
  <c r="M47" i="25"/>
  <c r="Q37" i="25"/>
  <c r="AG45" i="25"/>
  <c r="C39" i="25"/>
  <c r="O48" i="25"/>
  <c r="D44" i="25"/>
  <c r="F39" i="25"/>
  <c r="H34" i="25"/>
  <c r="U47" i="25"/>
  <c r="AF37" i="25"/>
  <c r="G51" i="25"/>
  <c r="D45" i="25"/>
  <c r="R38" i="25"/>
  <c r="AD51" i="25"/>
  <c r="AF40" i="25"/>
  <c r="F51" i="25"/>
  <c r="L42" i="25"/>
  <c r="D34" i="25"/>
  <c r="AE40" i="25"/>
  <c r="L50" i="25"/>
  <c r="P41" i="25"/>
  <c r="Q33" i="25"/>
  <c r="Y39" i="25"/>
  <c r="Y47" i="25"/>
  <c r="V39" i="25"/>
  <c r="E44" i="25"/>
  <c r="M36" i="25"/>
  <c r="AA48" i="25"/>
  <c r="AE39" i="25"/>
  <c r="AF47" i="25"/>
  <c r="S34" i="25"/>
  <c r="X51" i="25"/>
  <c r="AB39" i="25"/>
  <c r="K37" i="25"/>
  <c r="F49" i="25"/>
  <c r="M39" i="25"/>
  <c r="AF48" i="25"/>
  <c r="C38" i="25"/>
  <c r="W45" i="25"/>
  <c r="R40" i="25"/>
  <c r="C48" i="25"/>
  <c r="G44" i="25"/>
  <c r="J34" i="25"/>
  <c r="X40" i="25"/>
  <c r="Q39" i="25"/>
  <c r="I43" i="25"/>
  <c r="Q49" i="25"/>
  <c r="K40" i="25"/>
  <c r="U50" i="25"/>
  <c r="AA33" i="25"/>
  <c r="J52" i="25"/>
  <c r="R52" i="25"/>
  <c r="R43" i="25"/>
  <c r="G34" i="25"/>
  <c r="S40" i="25"/>
  <c r="J51" i="25"/>
  <c r="E47" i="25"/>
  <c r="G42" i="25"/>
  <c r="I37" i="25"/>
  <c r="S52" i="25"/>
  <c r="U44" i="25"/>
  <c r="U33" i="25"/>
  <c r="E49" i="25"/>
  <c r="M42" i="25"/>
  <c r="K36" i="25"/>
  <c r="AD47" i="25"/>
  <c r="U35" i="25"/>
  <c r="K48" i="25"/>
  <c r="K39" i="25"/>
  <c r="AD48" i="25"/>
  <c r="T35" i="25"/>
  <c r="I47" i="25"/>
  <c r="P38" i="25"/>
  <c r="Y48" i="25"/>
  <c r="AC33" i="25"/>
  <c r="X44" i="25"/>
  <c r="AB35" i="25"/>
  <c r="J41" i="25"/>
  <c r="J33" i="25"/>
  <c r="AA45" i="25"/>
  <c r="AA35" i="25"/>
  <c r="Y42" i="25"/>
  <c r="AA37" i="25"/>
  <c r="S46" i="25"/>
  <c r="AE34" i="25"/>
  <c r="V35" i="25"/>
  <c r="C41" i="25"/>
  <c r="M48" i="25"/>
  <c r="Y37" i="25"/>
  <c r="Y49" i="25"/>
  <c r="L51" i="25"/>
  <c r="E48" i="25"/>
  <c r="J38" i="25"/>
  <c r="AG46" i="25"/>
  <c r="K51" i="25"/>
  <c r="Z41" i="25"/>
  <c r="H37" i="25"/>
  <c r="E52" i="25"/>
  <c r="R42" i="25"/>
  <c r="G33" i="25"/>
  <c r="U38" i="25"/>
  <c r="G36" i="25"/>
  <c r="K38" i="25"/>
  <c r="P48" i="25"/>
  <c r="G39" i="25"/>
  <c r="W48" i="25"/>
  <c r="I49" i="25"/>
  <c r="G49" i="25"/>
  <c r="Q51" i="25"/>
  <c r="O42" i="25"/>
  <c r="D33" i="25"/>
  <c r="AE37" i="25"/>
  <c r="Q50" i="25"/>
  <c r="K46" i="25"/>
  <c r="M41" i="25"/>
  <c r="O36" i="25"/>
  <c r="U51" i="25"/>
  <c r="W43" i="25"/>
  <c r="C44" i="25"/>
  <c r="L48" i="25"/>
  <c r="D42" i="25"/>
  <c r="H35" i="25"/>
  <c r="AF46" i="25"/>
  <c r="AG33" i="25"/>
  <c r="P46" i="25"/>
  <c r="Q38" i="25"/>
  <c r="AC47" i="25"/>
  <c r="C42" i="25"/>
  <c r="N46" i="25"/>
  <c r="L37" i="25"/>
  <c r="Z46" i="25"/>
  <c r="W52" i="25"/>
  <c r="AD43" i="25"/>
  <c r="Z33" i="25"/>
  <c r="Q40" i="25"/>
  <c r="AE52" i="25"/>
  <c r="AC43" i="25"/>
  <c r="AD34" i="25"/>
  <c r="AE41" i="25"/>
  <c r="Z36" i="25"/>
  <c r="Z45" i="25"/>
  <c r="W34" i="25"/>
  <c r="C25" i="16"/>
  <c r="AG23" i="28"/>
  <c r="AG25" i="28" s="1"/>
  <c r="K23" i="28"/>
  <c r="K25" i="28" s="1"/>
  <c r="J33" i="26"/>
  <c r="J35" i="26" s="1"/>
  <c r="AC16" i="2"/>
  <c r="G16" i="2"/>
  <c r="AG16" i="2"/>
  <c r="AF21" i="22"/>
  <c r="T16" i="2"/>
  <c r="W19" i="22"/>
  <c r="Y22" i="22"/>
  <c r="AA19" i="22"/>
  <c r="AG22" i="22"/>
  <c r="AE23" i="22"/>
  <c r="X8" i="2"/>
  <c r="Y13" i="2"/>
  <c r="J21" i="22"/>
  <c r="M8" i="2"/>
  <c r="AB14" i="47084"/>
  <c r="N8" i="2"/>
  <c r="J14" i="47084"/>
  <c r="H14" i="47084"/>
  <c r="AC18" i="24"/>
  <c r="M17" i="24"/>
  <c r="AA16" i="24"/>
  <c r="P16" i="24"/>
  <c r="H18" i="24"/>
  <c r="D14" i="24"/>
  <c r="Z14" i="24"/>
  <c r="U15" i="24"/>
  <c r="Y41" i="25"/>
  <c r="AC36" i="25"/>
  <c r="C52" i="25"/>
  <c r="H52" i="25"/>
  <c r="F50" i="25"/>
  <c r="D48" i="25"/>
  <c r="M45" i="25"/>
  <c r="G43" i="25"/>
  <c r="O40" i="25"/>
  <c r="I38" i="25"/>
  <c r="Q35" i="25"/>
  <c r="K33" i="25"/>
  <c r="AB49" i="25"/>
  <c r="AE45" i="25"/>
  <c r="S42" i="25"/>
  <c r="X36" i="25"/>
  <c r="C35" i="25"/>
  <c r="M50" i="25"/>
  <c r="J47" i="25"/>
  <c r="I44" i="25"/>
  <c r="H41" i="25"/>
  <c r="M37" i="25"/>
  <c r="M34" i="25"/>
  <c r="AB50" i="25"/>
  <c r="AC44" i="25"/>
  <c r="Z39" i="25"/>
  <c r="AF33" i="25"/>
  <c r="M51" i="25"/>
  <c r="R48" i="25"/>
  <c r="E46" i="25"/>
  <c r="J42" i="25"/>
  <c r="J39" i="25"/>
  <c r="I36" i="25"/>
  <c r="Z52" i="25"/>
  <c r="AA47" i="25"/>
  <c r="AC42" i="25"/>
  <c r="S36" i="25"/>
  <c r="AC51" i="25"/>
  <c r="AB48" i="25"/>
  <c r="S45" i="25"/>
  <c r="AG41" i="25"/>
  <c r="Y38" i="25"/>
  <c r="U34" i="25"/>
  <c r="N45" i="25"/>
  <c r="D43" i="25"/>
  <c r="P39" i="25"/>
  <c r="F37" i="25"/>
  <c r="K34" i="25"/>
  <c r="S51" i="25"/>
  <c r="AG47" i="25"/>
  <c r="AF44" i="25"/>
  <c r="U41" i="25"/>
  <c r="AC37" i="25"/>
  <c r="T34" i="25"/>
  <c r="X50" i="25"/>
  <c r="W47" i="25"/>
  <c r="V44" i="25"/>
  <c r="Y40" i="25"/>
  <c r="AE36" i="25"/>
  <c r="X33" i="25"/>
  <c r="AB38" i="25"/>
  <c r="AG35" i="25"/>
  <c r="W33" i="25"/>
  <c r="W50" i="25"/>
  <c r="AB47" i="25"/>
  <c r="AG44" i="25"/>
  <c r="AD41" i="25"/>
  <c r="T39" i="25"/>
  <c r="Y36" i="25"/>
  <c r="V33" i="25"/>
  <c r="N49" i="25"/>
  <c r="L53" i="25"/>
  <c r="H53" i="25"/>
  <c r="Q18" i="24"/>
  <c r="X17" i="24"/>
  <c r="G16" i="24"/>
  <c r="AE17" i="24"/>
  <c r="J15" i="24"/>
  <c r="G17" i="24"/>
  <c r="AG16" i="24"/>
  <c r="AA15" i="24"/>
  <c r="AA14" i="24"/>
  <c r="AD52" i="25"/>
  <c r="AC49" i="25"/>
  <c r="AC46" i="25"/>
  <c r="S43" i="25"/>
  <c r="AD39" i="25"/>
  <c r="U36" i="25"/>
  <c r="AD40" i="25"/>
  <c r="T38" i="25"/>
  <c r="Y35" i="25"/>
  <c r="Y52" i="25"/>
  <c r="AD49" i="25"/>
  <c r="T47" i="25"/>
  <c r="AF43" i="25"/>
  <c r="V41" i="25"/>
  <c r="AA38" i="25"/>
  <c r="X35" i="25"/>
  <c r="Z47" i="25"/>
  <c r="G47" i="25"/>
  <c r="C40" i="25"/>
  <c r="K8" i="2"/>
  <c r="G53" i="25"/>
  <c r="P51" i="25"/>
  <c r="P8" i="2"/>
  <c r="T8" i="2"/>
  <c r="I53" i="25"/>
  <c r="S15" i="24"/>
  <c r="F18" i="24"/>
  <c r="R8" i="2"/>
  <c r="V8" i="2"/>
  <c r="O14" i="47084"/>
  <c r="X16" i="24"/>
  <c r="T14" i="24"/>
  <c r="O14" i="24"/>
  <c r="AF15" i="24"/>
  <c r="V14" i="24"/>
  <c r="F16" i="24"/>
  <c r="W14" i="24"/>
  <c r="Y18" i="24"/>
  <c r="O16" i="24"/>
  <c r="L47" i="25"/>
  <c r="G40" i="25"/>
  <c r="AD33" i="25"/>
  <c r="AF35" i="25"/>
  <c r="S38" i="25"/>
  <c r="U40" i="25"/>
  <c r="W42" i="25"/>
  <c r="Y44" i="25"/>
  <c r="AA46" i="25"/>
  <c r="AC48" i="25"/>
  <c r="AE50" i="25"/>
  <c r="AG52" i="25"/>
  <c r="AF34" i="25"/>
  <c r="S37" i="25"/>
  <c r="U39" i="25"/>
  <c r="W41" i="25"/>
  <c r="Z35" i="25"/>
  <c r="W38" i="25"/>
  <c r="T41" i="25"/>
  <c r="AB43" i="25"/>
  <c r="T46" i="25"/>
  <c r="Z48" i="25"/>
  <c r="AG50" i="25"/>
  <c r="Y33" i="25"/>
  <c r="V36" i="25"/>
  <c r="S39" i="25"/>
  <c r="AF41" i="25"/>
  <c r="W44" i="25"/>
  <c r="AD46" i="25"/>
  <c r="U49" i="25"/>
  <c r="AB51" i="25"/>
  <c r="R33" i="25"/>
  <c r="E36" i="25"/>
  <c r="G38" i="25"/>
  <c r="I40" i="25"/>
  <c r="K42" i="25"/>
  <c r="M44" i="25"/>
  <c r="O46" i="25"/>
  <c r="AG34" i="25"/>
  <c r="AD37" i="25"/>
  <c r="AA40" i="25"/>
  <c r="U43" i="25"/>
  <c r="AB45" i="25"/>
  <c r="S48" i="25"/>
  <c r="Z50" i="25"/>
  <c r="AF52" i="25"/>
  <c r="V37" i="25"/>
  <c r="AB41" i="25"/>
  <c r="AC45" i="25"/>
  <c r="Z49" i="25"/>
  <c r="H33" i="25"/>
  <c r="O35" i="25"/>
  <c r="F38" i="25"/>
  <c r="M40" i="25"/>
  <c r="E43" i="25"/>
  <c r="K45" i="25"/>
  <c r="Q47" i="25"/>
  <c r="D50" i="25"/>
  <c r="F52" i="25"/>
  <c r="C50" i="25"/>
  <c r="W37" i="25"/>
  <c r="AC41" i="25"/>
  <c r="AD45" i="25"/>
  <c r="AA49" i="25"/>
  <c r="I33" i="25"/>
  <c r="P35" i="25"/>
  <c r="H38" i="25"/>
  <c r="N40" i="25"/>
  <c r="F43" i="25"/>
  <c r="L45" i="25"/>
  <c r="R47" i="25"/>
  <c r="E50" i="25"/>
  <c r="G52" i="25"/>
  <c r="C51" i="25"/>
  <c r="X37" i="25"/>
  <c r="AD8" i="2"/>
  <c r="AB8" i="2"/>
  <c r="U8" i="2"/>
  <c r="D14" i="47084"/>
  <c r="AE14" i="47084"/>
  <c r="C56" i="22"/>
  <c r="C53" i="25"/>
  <c r="J8" i="2"/>
  <c r="F8" i="2"/>
  <c r="O53" i="25"/>
  <c r="AG8" i="2"/>
  <c r="AE8" i="2"/>
  <c r="AC8" i="2"/>
  <c r="AA8" i="2"/>
  <c r="Y8" i="2"/>
  <c r="W8" i="2"/>
  <c r="S8" i="2"/>
  <c r="AG14" i="47084"/>
  <c r="AF14" i="47084"/>
  <c r="AA14" i="47084"/>
  <c r="Z14" i="47084"/>
  <c r="Y14" i="47084"/>
  <c r="U14" i="47084"/>
  <c r="R14" i="47084"/>
  <c r="Q14" i="47084"/>
  <c r="P14" i="47084"/>
  <c r="L14" i="47084"/>
  <c r="K14" i="47084"/>
  <c r="I14" i="47084"/>
  <c r="AD14" i="47084"/>
  <c r="AC14" i="47084"/>
  <c r="W14" i="47084"/>
  <c r="T14" i="47084"/>
  <c r="M14" i="47084"/>
  <c r="F14" i="47084"/>
  <c r="D48" i="47089"/>
  <c r="D54" i="47089" s="1"/>
  <c r="X14" i="47084"/>
  <c r="V14" i="47084"/>
  <c r="S14" i="47084"/>
  <c r="N14" i="47084"/>
  <c r="G14" i="47084"/>
  <c r="E14" i="47084"/>
  <c r="D53" i="25"/>
  <c r="E53" i="25"/>
  <c r="H15" i="24"/>
  <c r="V23" i="47084"/>
  <c r="L23" i="47084"/>
  <c r="AE15" i="24"/>
  <c r="X18" i="24"/>
  <c r="AG14" i="24"/>
  <c r="I18" i="24"/>
  <c r="Q16" i="24"/>
  <c r="K15" i="24"/>
  <c r="E14" i="24"/>
  <c r="Y14" i="24"/>
  <c r="AE16" i="24"/>
  <c r="V17" i="24"/>
  <c r="R18" i="24"/>
  <c r="L17" i="24"/>
  <c r="E16" i="24"/>
  <c r="N14" i="24"/>
  <c r="S17" i="24"/>
  <c r="P18" i="24"/>
  <c r="O17" i="24"/>
  <c r="N16" i="24"/>
  <c r="M15" i="24"/>
  <c r="L14" i="24"/>
  <c r="S18" i="24"/>
  <c r="Y15" i="24"/>
  <c r="Z18" i="24"/>
  <c r="S16" i="24"/>
  <c r="Z17" i="24"/>
  <c r="W16" i="24"/>
  <c r="W17" i="24"/>
  <c r="AC16" i="24"/>
  <c r="AB16" i="24"/>
  <c r="C18" i="24"/>
  <c r="K18" i="24"/>
  <c r="P17" i="24"/>
  <c r="E17" i="24"/>
  <c r="I16" i="24"/>
  <c r="N15" i="24"/>
  <c r="M14" i="24"/>
  <c r="AF23" i="47084"/>
  <c r="AB23" i="47084"/>
  <c r="N23" i="47084"/>
  <c r="I23" i="47084"/>
  <c r="G23" i="47084"/>
  <c r="D16" i="24"/>
  <c r="AG23" i="47084"/>
  <c r="S23" i="47084"/>
  <c r="Y16" i="24"/>
  <c r="AE18" i="24"/>
  <c r="V16" i="24"/>
  <c r="V18" i="24"/>
  <c r="R17" i="24"/>
  <c r="L16" i="24"/>
  <c r="F15" i="24"/>
  <c r="W18" i="24"/>
  <c r="Y17" i="24"/>
  <c r="AC14" i="24"/>
  <c r="T15" i="24"/>
  <c r="M18" i="24"/>
  <c r="F17" i="24"/>
  <c r="O15" i="24"/>
  <c r="I14" i="24"/>
  <c r="Z15" i="24"/>
  <c r="L18" i="24"/>
  <c r="K17" i="24"/>
  <c r="J16" i="24"/>
  <c r="I15" i="24"/>
  <c r="H14" i="24"/>
  <c r="AB17" i="24"/>
  <c r="AD14" i="24"/>
  <c r="AG17" i="24"/>
  <c r="X15" i="24"/>
  <c r="AE14" i="24"/>
  <c r="U18" i="24"/>
  <c r="AD15" i="24"/>
  <c r="AD16" i="24"/>
  <c r="U16" i="24"/>
  <c r="AA17" i="24"/>
  <c r="C17" i="24"/>
  <c r="J18" i="24"/>
  <c r="N17" i="24"/>
  <c r="D17" i="24"/>
  <c r="H16" i="24"/>
  <c r="L15" i="24"/>
  <c r="K14" i="24"/>
  <c r="AD23" i="47084"/>
  <c r="AC23" i="47084"/>
  <c r="AA23" i="47084"/>
  <c r="Z23" i="47084"/>
  <c r="Y23" i="47084"/>
  <c r="X23" i="47084"/>
  <c r="T23" i="47084"/>
  <c r="Q23" i="47084"/>
  <c r="P23" i="47084"/>
  <c r="O23" i="47084"/>
  <c r="K23" i="47084"/>
  <c r="J23" i="47084"/>
  <c r="H23" i="47084"/>
  <c r="M23" i="47084"/>
  <c r="AB18" i="24"/>
  <c r="Z16" i="24"/>
  <c r="V15" i="24"/>
  <c r="AB15" i="24"/>
  <c r="N18" i="24"/>
  <c r="H17" i="24"/>
  <c r="P15" i="24"/>
  <c r="J14" i="24"/>
  <c r="AG15" i="24"/>
  <c r="AG18" i="24"/>
  <c r="AC15" i="24"/>
  <c r="C14" i="24"/>
  <c r="Q17" i="24"/>
  <c r="K16" i="24"/>
  <c r="D15" i="24"/>
  <c r="T18" i="24"/>
  <c r="C16" i="24"/>
  <c r="D18" i="24"/>
  <c r="R16" i="24"/>
  <c r="Q15" i="24"/>
  <c r="P14" i="24"/>
  <c r="AA18" i="24"/>
  <c r="T16" i="24"/>
  <c r="AD18" i="24"/>
  <c r="AF16" i="24"/>
  <c r="I8" i="2"/>
  <c r="AF14" i="24"/>
  <c r="AF17" i="24"/>
  <c r="AF18" i="24"/>
  <c r="AB14" i="24"/>
  <c r="S14" i="24"/>
  <c r="D56" i="22"/>
  <c r="O18" i="24"/>
  <c r="E18" i="24"/>
  <c r="I17" i="24"/>
  <c r="M16" i="24"/>
  <c r="R15" i="24"/>
  <c r="G15" i="24"/>
  <c r="AE23" i="47084"/>
  <c r="W23" i="47084"/>
  <c r="U23" i="47084"/>
  <c r="R23" i="47084"/>
  <c r="F23" i="47084"/>
  <c r="E23" i="47084"/>
  <c r="AG56" i="22"/>
  <c r="N23" i="22"/>
  <c r="AC21" i="22"/>
  <c r="U21" i="22"/>
  <c r="R23" i="22"/>
  <c r="AA23" i="22"/>
  <c r="F21" i="22"/>
  <c r="AD20" i="22"/>
  <c r="Q14" i="24"/>
  <c r="F14" i="24"/>
  <c r="I23" i="22"/>
  <c r="W15" i="24"/>
  <c r="AD22" i="22"/>
  <c r="T23" i="22"/>
  <c r="T19" i="22"/>
  <c r="AC13" i="21"/>
  <c r="C19" i="22"/>
  <c r="G19" i="22"/>
  <c r="K22" i="22"/>
  <c r="G22" i="22"/>
  <c r="K23" i="22"/>
  <c r="G23" i="22"/>
  <c r="R14" i="24"/>
  <c r="G14" i="24"/>
  <c r="J19" i="22"/>
  <c r="F19" i="22"/>
  <c r="R20" i="22"/>
  <c r="R22" i="22"/>
  <c r="J22" i="22"/>
  <c r="F23" i="22"/>
  <c r="AG19" i="22"/>
  <c r="AF20" i="22"/>
  <c r="AD21" i="22"/>
  <c r="AC23" i="22"/>
  <c r="AC19" i="22"/>
  <c r="AB20" i="22"/>
  <c r="Y23" i="22"/>
  <c r="Y19" i="22"/>
  <c r="X20" i="22"/>
  <c r="V21" i="22"/>
  <c r="T20" i="22"/>
  <c r="W20" i="22"/>
  <c r="Y21" i="22"/>
  <c r="AB23" i="22"/>
  <c r="M19" i="22"/>
  <c r="M23" i="22"/>
  <c r="AE20" i="22"/>
  <c r="Q53" i="25"/>
  <c r="Q19" i="22"/>
  <c r="Q20" i="22"/>
  <c r="I20" i="22"/>
  <c r="E20" i="22"/>
  <c r="M22" i="22"/>
  <c r="I22" i="22"/>
  <c r="E22" i="22"/>
  <c r="Q21" i="22"/>
  <c r="E21" i="22"/>
  <c r="E23" i="22"/>
  <c r="AD17" i="24"/>
  <c r="AE19" i="22"/>
  <c r="X21" i="22"/>
  <c r="U22" i="22"/>
  <c r="S23" i="22"/>
  <c r="S19" i="22"/>
  <c r="AF53" i="25"/>
  <c r="Z53" i="25"/>
  <c r="X53" i="25"/>
  <c r="AE13" i="21"/>
  <c r="X13" i="21"/>
  <c r="S13" i="21"/>
  <c r="P19" i="22"/>
  <c r="L19" i="22"/>
  <c r="L20" i="22"/>
  <c r="D20" i="22"/>
  <c r="H22" i="22"/>
  <c r="P21" i="22"/>
  <c r="H21" i="22"/>
  <c r="L23" i="22"/>
  <c r="AC17" i="24"/>
  <c r="X22" i="22"/>
  <c r="W21" i="22"/>
  <c r="V19" i="22"/>
  <c r="S21" i="22"/>
  <c r="C12" i="21"/>
  <c r="AB13" i="21"/>
  <c r="J12" i="21"/>
  <c r="AG12" i="21"/>
  <c r="AF13" i="21"/>
  <c r="AD12" i="21"/>
  <c r="AA13" i="21"/>
  <c r="Z13" i="21"/>
  <c r="Y13" i="21"/>
  <c r="W12" i="21"/>
  <c r="U13" i="21"/>
  <c r="P13" i="21"/>
  <c r="I12" i="21"/>
  <c r="AF23" i="22"/>
  <c r="AF19" i="22"/>
  <c r="AA20" i="22"/>
  <c r="S20" i="22"/>
  <c r="D13" i="21"/>
  <c r="AE12" i="21"/>
  <c r="AD13" i="21"/>
  <c r="X12" i="21"/>
  <c r="T12" i="21"/>
  <c r="U19" i="22"/>
  <c r="K20" i="22"/>
  <c r="C21" i="22"/>
  <c r="S22" i="22"/>
  <c r="Q33" i="26"/>
  <c r="Q35" i="26" s="1"/>
  <c r="AG33" i="26"/>
  <c r="AG35" i="26" s="1"/>
  <c r="Y33" i="26"/>
  <c r="Y35" i="26" s="1"/>
  <c r="AC33" i="26"/>
  <c r="AC35" i="26" s="1"/>
  <c r="E33" i="26"/>
  <c r="E35" i="26" s="1"/>
  <c r="D22" i="22"/>
  <c r="H19" i="22"/>
  <c r="O20" i="22"/>
  <c r="AG20" i="22"/>
  <c r="L21" i="22"/>
  <c r="K19" i="22"/>
  <c r="R53" i="25"/>
  <c r="M53" i="25"/>
  <c r="N53" i="25"/>
  <c r="F23" i="28"/>
  <c r="F25" i="28" s="1"/>
  <c r="F20" i="22"/>
  <c r="Y20" i="22"/>
  <c r="N22" i="22"/>
  <c r="T13" i="21"/>
  <c r="D21" i="47084"/>
  <c r="L11" i="2"/>
  <c r="F155" i="47084"/>
  <c r="AF16" i="2"/>
  <c r="E23" i="28"/>
  <c r="E25" i="28" s="1"/>
  <c r="AE23" i="28"/>
  <c r="AE25" i="28" s="1"/>
  <c r="S16" i="2"/>
  <c r="T33" i="26"/>
  <c r="T35" i="26" s="1"/>
  <c r="V20" i="22"/>
  <c r="D23" i="22"/>
  <c r="AD19" i="22"/>
  <c r="J56" i="22"/>
  <c r="R19" i="22"/>
  <c r="F22" i="22"/>
  <c r="AB22" i="22"/>
  <c r="V56" i="22"/>
  <c r="N19" i="22"/>
  <c r="AG23" i="22"/>
  <c r="Z21" i="22"/>
  <c r="A1" i="2"/>
  <c r="M16" i="2"/>
  <c r="I16" i="2"/>
  <c r="H23" i="28"/>
  <c r="H25" i="28" s="1"/>
  <c r="L16" i="2"/>
  <c r="P16" i="2"/>
  <c r="K56" i="22"/>
  <c r="T53" i="25"/>
  <c r="Q8" i="2"/>
  <c r="AF8" i="2"/>
  <c r="AD53" i="25"/>
  <c r="G48" i="47089"/>
  <c r="G54" i="47089" s="1"/>
  <c r="K48" i="47089"/>
  <c r="D23" i="28"/>
  <c r="D25" i="28" s="1"/>
  <c r="H16" i="2"/>
  <c r="AB23" i="28"/>
  <c r="AB25" i="28" s="1"/>
  <c r="X23" i="28"/>
  <c r="X25" i="28" s="1"/>
  <c r="L56" i="22"/>
  <c r="I19" i="22"/>
  <c r="O23" i="22"/>
  <c r="AF22" i="22"/>
  <c r="N20" i="22"/>
  <c r="AE21" i="22"/>
  <c r="Z23" i="22"/>
  <c r="AE56" i="22"/>
  <c r="AA21" i="22"/>
  <c r="V23" i="22"/>
  <c r="Z19" i="22"/>
  <c r="E19" i="22"/>
  <c r="S11" i="2"/>
  <c r="D11" i="2"/>
  <c r="L8" i="2"/>
  <c r="D8" i="2"/>
  <c r="AG53" i="25"/>
  <c r="F48" i="47089"/>
  <c r="F54" i="47089" s="1"/>
  <c r="N16" i="2"/>
  <c r="V16" i="2"/>
  <c r="AD16" i="2"/>
  <c r="F16" i="2"/>
  <c r="Z16" i="2"/>
  <c r="AB33" i="26"/>
  <c r="AB35" i="26" s="1"/>
  <c r="R33" i="26"/>
  <c r="R35" i="26" s="1"/>
  <c r="O22" i="22"/>
  <c r="X56" i="22"/>
  <c r="M20" i="22"/>
  <c r="H23" i="22"/>
  <c r="D21" i="22"/>
  <c r="P23" i="22"/>
  <c r="W22" i="22"/>
  <c r="D19" i="22"/>
  <c r="T22" i="22"/>
  <c r="O21" i="22"/>
  <c r="AF56" i="22"/>
  <c r="E11" i="2"/>
  <c r="G8" i="2"/>
  <c r="C8" i="2"/>
  <c r="E48" i="47089"/>
  <c r="E54" i="47089" s="1"/>
  <c r="AA23" i="28"/>
  <c r="AA25" i="28" s="1"/>
  <c r="AA16" i="2"/>
  <c r="R16" i="2"/>
  <c r="W16" i="2"/>
  <c r="H33" i="26"/>
  <c r="H35" i="26" s="1"/>
  <c r="G21" i="22"/>
  <c r="I21" i="22"/>
  <c r="F56" i="22"/>
  <c r="R56" i="22"/>
  <c r="AA56" i="22"/>
  <c r="T56" i="22"/>
  <c r="AC56" i="22"/>
  <c r="AA22" i="22"/>
  <c r="AE24" i="47084"/>
  <c r="E8" i="2"/>
  <c r="K53" i="25"/>
  <c r="AA53" i="25"/>
  <c r="AC53" i="25"/>
  <c r="H8" i="2"/>
  <c r="T48" i="47089"/>
  <c r="T54" i="47089" s="1"/>
  <c r="U48" i="47089"/>
  <c r="U54" i="47089" s="1"/>
  <c r="W48" i="47089"/>
  <c r="W54" i="47089" s="1"/>
  <c r="X48" i="47089"/>
  <c r="X54" i="47089" s="1"/>
  <c r="Z48" i="47089"/>
  <c r="Z54" i="47089" s="1"/>
  <c r="AA48" i="47089"/>
  <c r="AA54" i="47089" s="1"/>
  <c r="V48" i="47089"/>
  <c r="V54" i="47089" s="1"/>
  <c r="Y48" i="47089"/>
  <c r="Y54" i="47089" s="1"/>
  <c r="P23" i="28"/>
  <c r="P25" i="28" s="1"/>
  <c r="AE16" i="2"/>
  <c r="M23" i="28"/>
  <c r="M25" i="28" s="1"/>
  <c r="J23" i="28"/>
  <c r="J25" i="28" s="1"/>
  <c r="T23" i="28"/>
  <c r="T25" i="28" s="1"/>
  <c r="E16" i="2"/>
  <c r="V23" i="28"/>
  <c r="V25" i="28" s="1"/>
  <c r="Y23" i="28"/>
  <c r="Y25" i="28" s="1"/>
  <c r="C19" i="47084"/>
  <c r="U19" i="47084"/>
  <c r="AC19" i="47084"/>
  <c r="E19" i="47084"/>
  <c r="Z33" i="26"/>
  <c r="Z35" i="26" s="1"/>
  <c r="S56" i="22"/>
  <c r="U20" i="22"/>
  <c r="C22" i="22"/>
  <c r="N21" i="22"/>
  <c r="Z22" i="22"/>
  <c r="Q56" i="22"/>
  <c r="AD23" i="22"/>
  <c r="Y56" i="22"/>
  <c r="Q23" i="22"/>
  <c r="T21" i="22"/>
  <c r="R21" i="22"/>
  <c r="AC20" i="22"/>
  <c r="W56" i="22"/>
  <c r="AB19" i="22"/>
  <c r="P22" i="22"/>
  <c r="AG21" i="22"/>
  <c r="X23" i="22"/>
  <c r="P56" i="22"/>
  <c r="AB21" i="22"/>
  <c r="H56" i="22"/>
  <c r="X19" i="22"/>
  <c r="C20" i="22"/>
  <c r="U56" i="22"/>
  <c r="AC30" i="47084"/>
  <c r="N24" i="47084"/>
  <c r="T11" i="2"/>
  <c r="AF12" i="21"/>
  <c r="V12" i="21"/>
  <c r="F12" i="21"/>
  <c r="AA12" i="21"/>
  <c r="R12" i="21"/>
  <c r="P12" i="21"/>
  <c r="W53" i="25"/>
  <c r="P53" i="25"/>
  <c r="F53" i="25"/>
  <c r="U53" i="25"/>
  <c r="AB53" i="25"/>
  <c r="J53" i="25"/>
  <c r="V53" i="25"/>
  <c r="L13" i="2"/>
  <c r="A1" i="28"/>
  <c r="M48" i="47089"/>
  <c r="M54" i="47089" s="1"/>
  <c r="O48" i="47089"/>
  <c r="O54" i="47089" s="1"/>
  <c r="Q48" i="47089"/>
  <c r="Q54" i="47089" s="1"/>
  <c r="AB48" i="47089"/>
  <c r="AB54" i="47089" s="1"/>
  <c r="AC48" i="47089"/>
  <c r="AC54" i="47089" s="1"/>
  <c r="H48" i="47089"/>
  <c r="H54" i="47089" s="1"/>
  <c r="N48" i="47089"/>
  <c r="N54" i="47089" s="1"/>
  <c r="P48" i="47089"/>
  <c r="P54" i="47089" s="1"/>
  <c r="R48" i="47089"/>
  <c r="R54" i="47089" s="1"/>
  <c r="S48" i="47089"/>
  <c r="S54" i="47089" s="1"/>
  <c r="AD48" i="47089"/>
  <c r="AD54" i="47089" s="1"/>
  <c r="I48" i="47089"/>
  <c r="I54" i="47089" s="1"/>
  <c r="L48" i="47089"/>
  <c r="L54" i="47089" s="1"/>
  <c r="AE48" i="47089"/>
  <c r="AE54" i="47089" s="1"/>
  <c r="AF48" i="47089"/>
  <c r="AF54" i="47089" s="1"/>
  <c r="AG48" i="47089"/>
  <c r="AG54" i="47089" s="1"/>
  <c r="J48" i="47089"/>
  <c r="J54" i="47089" s="1"/>
  <c r="N23" i="28"/>
  <c r="N25" i="28" s="1"/>
  <c r="U23" i="28"/>
  <c r="U25" i="28" s="1"/>
  <c r="U16" i="2"/>
  <c r="Q23" i="28"/>
  <c r="Q25" i="28" s="1"/>
  <c r="Q16" i="2"/>
  <c r="C23" i="28"/>
  <c r="AD19" i="47084"/>
  <c r="W19" i="47084"/>
  <c r="AE19" i="47084"/>
  <c r="AF19" i="47084"/>
  <c r="AG19" i="47084"/>
  <c r="M19" i="47084"/>
  <c r="X33" i="26"/>
  <c r="X35" i="26" s="1"/>
  <c r="D33" i="26"/>
  <c r="D35" i="26" s="1"/>
  <c r="H19" i="47084"/>
  <c r="J19" i="47084"/>
  <c r="Y19" i="47084"/>
  <c r="AA19" i="47084"/>
  <c r="I33" i="26"/>
  <c r="I35" i="26" s="1"/>
  <c r="O19" i="47084"/>
  <c r="F19" i="47084"/>
  <c r="AF33" i="26"/>
  <c r="AF35" i="26" s="1"/>
  <c r="X19" i="47084"/>
  <c r="Z19" i="47084"/>
  <c r="L33" i="26"/>
  <c r="L35" i="26" s="1"/>
  <c r="N33" i="26"/>
  <c r="N35" i="26" s="1"/>
  <c r="G19" i="47084"/>
  <c r="L19" i="47084"/>
  <c r="N19" i="47084"/>
  <c r="V13" i="2"/>
  <c r="I13" i="2"/>
  <c r="AD33" i="47084"/>
  <c r="AG33" i="47084"/>
  <c r="S13" i="2"/>
  <c r="J13" i="2"/>
  <c r="K21" i="22"/>
  <c r="P20" i="22"/>
  <c r="AD56" i="22"/>
  <c r="C23" i="22"/>
  <c r="O19" i="22"/>
  <c r="J20" i="22"/>
  <c r="G20" i="22"/>
  <c r="N56" i="22"/>
  <c r="M21" i="22"/>
  <c r="V22" i="22"/>
  <c r="AE22" i="22"/>
  <c r="O56" i="22"/>
  <c r="L22" i="22"/>
  <c r="M56" i="22"/>
  <c r="AB56" i="22"/>
  <c r="Z20" i="22"/>
  <c r="Q22" i="22"/>
  <c r="W23" i="22"/>
  <c r="J23" i="22"/>
  <c r="G56" i="22"/>
  <c r="E56" i="22"/>
  <c r="I56" i="22"/>
  <c r="H20" i="22"/>
  <c r="Z56" i="22"/>
  <c r="AC22" i="22"/>
  <c r="U23" i="22"/>
  <c r="F11" i="2"/>
  <c r="D8" i="47084"/>
  <c r="E8" i="47084"/>
  <c r="K30" i="47084"/>
  <c r="H24" i="47084"/>
  <c r="J24" i="47084"/>
  <c r="T24" i="47084"/>
  <c r="L8" i="47084"/>
  <c r="D12" i="21"/>
  <c r="Y12" i="21"/>
  <c r="O12" i="21"/>
  <c r="AC12" i="21"/>
  <c r="S12" i="21"/>
  <c r="K12" i="21"/>
  <c r="AB12" i="21"/>
  <c r="Z12" i="21"/>
  <c r="L12" i="21"/>
  <c r="H12" i="21"/>
  <c r="G12" i="21"/>
  <c r="U12" i="21"/>
  <c r="Q12" i="21"/>
  <c r="N12" i="21"/>
  <c r="M12" i="21"/>
  <c r="E12" i="21"/>
  <c r="I13" i="21"/>
  <c r="J13" i="21"/>
  <c r="C13" i="21"/>
  <c r="W13" i="21"/>
  <c r="Z8" i="2"/>
  <c r="O8" i="2"/>
  <c r="AE53" i="25"/>
  <c r="Y53" i="25"/>
  <c r="S53" i="25"/>
  <c r="C21" i="47084"/>
  <c r="A1" i="27"/>
  <c r="A1" i="24"/>
  <c r="A1" i="22"/>
  <c r="A1" i="47089"/>
  <c r="A1" i="19"/>
  <c r="A1" i="21"/>
  <c r="A1" i="16"/>
  <c r="A1" i="25"/>
  <c r="A1" i="26"/>
  <c r="A1" i="47088"/>
  <c r="A1" i="47084"/>
  <c r="O14" i="21" l="1"/>
  <c r="Q12" i="2"/>
  <c r="Q107" i="2" s="1"/>
  <c r="L14" i="21"/>
  <c r="AG14" i="21"/>
  <c r="I12" i="2"/>
  <c r="I107" i="2" s="1"/>
  <c r="K17" i="2"/>
  <c r="K31" i="47084" s="1"/>
  <c r="K54" i="47089"/>
  <c r="B54" i="47089" s="1"/>
  <c r="B25" i="28"/>
  <c r="B35" i="26"/>
  <c r="AE12" i="2"/>
  <c r="AE107" i="2" s="1"/>
  <c r="AE26" i="22"/>
  <c r="AD12" i="2"/>
  <c r="AD107" i="2" s="1"/>
  <c r="AD26" i="22"/>
  <c r="Z12" i="2"/>
  <c r="Z107" i="2" s="1"/>
  <c r="Z26" i="22"/>
  <c r="L12" i="2"/>
  <c r="L107" i="2" s="1"/>
  <c r="L26" i="22"/>
  <c r="K12" i="2"/>
  <c r="K107" i="2" s="1"/>
  <c r="K26" i="22"/>
  <c r="N12" i="2"/>
  <c r="N107" i="2" s="1"/>
  <c r="N26" i="22"/>
  <c r="T12" i="2"/>
  <c r="T107" i="2" s="1"/>
  <c r="T26" i="22"/>
  <c r="O12" i="2"/>
  <c r="O107" i="2" s="1"/>
  <c r="O26" i="22"/>
  <c r="D12" i="2"/>
  <c r="D107" i="2" s="1"/>
  <c r="D26" i="22"/>
  <c r="S12" i="2"/>
  <c r="S107" i="2" s="1"/>
  <c r="S26" i="22"/>
  <c r="AB12" i="2"/>
  <c r="AB107" i="2" s="1"/>
  <c r="AB26" i="22"/>
  <c r="H12" i="2"/>
  <c r="H107" i="2" s="1"/>
  <c r="H26" i="22"/>
  <c r="Y12" i="2"/>
  <c r="Y107" i="2" s="1"/>
  <c r="Y26" i="22"/>
  <c r="AA12" i="2"/>
  <c r="AA107" i="2" s="1"/>
  <c r="AA26" i="22"/>
  <c r="U12" i="2"/>
  <c r="U107" i="2" s="1"/>
  <c r="U26" i="22"/>
  <c r="J12" i="2"/>
  <c r="J107" i="2" s="1"/>
  <c r="J26" i="22"/>
  <c r="AG12" i="2"/>
  <c r="AG107" i="2" s="1"/>
  <c r="C95" i="2" s="1"/>
  <c r="AG26" i="22"/>
  <c r="G12" i="2"/>
  <c r="G107" i="2" s="1"/>
  <c r="G26" i="22"/>
  <c r="AC12" i="2"/>
  <c r="AC107" i="2" s="1"/>
  <c r="AC26" i="22"/>
  <c r="R12" i="2"/>
  <c r="R107" i="2" s="1"/>
  <c r="R26" i="22"/>
  <c r="E12" i="2"/>
  <c r="E107" i="2" s="1"/>
  <c r="E26" i="22"/>
  <c r="X12" i="2"/>
  <c r="X107" i="2" s="1"/>
  <c r="X26" i="22"/>
  <c r="M12" i="2"/>
  <c r="M107" i="2" s="1"/>
  <c r="M26" i="22"/>
  <c r="AF12" i="2"/>
  <c r="AF107" i="2" s="1"/>
  <c r="AF26" i="22"/>
  <c r="W12" i="2"/>
  <c r="W107" i="2" s="1"/>
  <c r="W26" i="22"/>
  <c r="V12" i="2"/>
  <c r="V107" i="2" s="1"/>
  <c r="V26" i="22"/>
  <c r="P12" i="2"/>
  <c r="P107" i="2" s="1"/>
  <c r="P26" i="22"/>
  <c r="F12" i="2"/>
  <c r="F107" i="2" s="1"/>
  <c r="F26" i="22"/>
  <c r="AF16" i="47084"/>
  <c r="AF12" i="47084" s="1"/>
  <c r="AF28" i="21"/>
  <c r="I10" i="2"/>
  <c r="I28" i="21"/>
  <c r="AF7" i="2"/>
  <c r="AF21" i="16"/>
  <c r="T7" i="2"/>
  <c r="T21" i="16"/>
  <c r="B30" i="24"/>
  <c r="D57" i="22"/>
  <c r="E57" i="22" s="1"/>
  <c r="F57" i="22" s="1"/>
  <c r="G57" i="22" s="1"/>
  <c r="H57" i="22" s="1"/>
  <c r="I57" i="22" s="1"/>
  <c r="J57" i="22" s="1"/>
  <c r="K57" i="22" s="1"/>
  <c r="L57" i="22" s="1"/>
  <c r="M57" i="22" s="1"/>
  <c r="N57" i="22" s="1"/>
  <c r="O57" i="22" s="1"/>
  <c r="P57" i="22" s="1"/>
  <c r="Q57" i="22" s="1"/>
  <c r="R57" i="22" s="1"/>
  <c r="S57" i="22" s="1"/>
  <c r="T57" i="22" s="1"/>
  <c r="U57" i="22" s="1"/>
  <c r="V57" i="22" s="1"/>
  <c r="W57" i="22" s="1"/>
  <c r="X57" i="22" s="1"/>
  <c r="Y57" i="22" s="1"/>
  <c r="Z57" i="22" s="1"/>
  <c r="AA57" i="22" s="1"/>
  <c r="AB57" i="22" s="1"/>
  <c r="AC57" i="22" s="1"/>
  <c r="AD57" i="22" s="1"/>
  <c r="AE57" i="22" s="1"/>
  <c r="AF57" i="22" s="1"/>
  <c r="AG57" i="22" s="1"/>
  <c r="AH57" i="22" s="1"/>
  <c r="AI57" i="22" s="1"/>
  <c r="AJ57" i="22" s="1"/>
  <c r="AK57" i="22" s="1"/>
  <c r="AL57" i="22" s="1"/>
  <c r="D58" i="22"/>
  <c r="E58" i="22" s="1"/>
  <c r="F58" i="22" s="1"/>
  <c r="G58" i="22" s="1"/>
  <c r="H58" i="22" s="1"/>
  <c r="I58" i="22" s="1"/>
  <c r="J58" i="22" s="1"/>
  <c r="K58" i="22" s="1"/>
  <c r="L58" i="22" s="1"/>
  <c r="M58" i="22" s="1"/>
  <c r="N58" i="22" s="1"/>
  <c r="O58" i="22" s="1"/>
  <c r="P58" i="22" s="1"/>
  <c r="Q58" i="22" s="1"/>
  <c r="R58" i="22" s="1"/>
  <c r="S58" i="22" s="1"/>
  <c r="T58" i="22" s="1"/>
  <c r="U58" i="22" s="1"/>
  <c r="V58" i="22" s="1"/>
  <c r="W58" i="22" s="1"/>
  <c r="X58" i="22" s="1"/>
  <c r="Y58" i="22" s="1"/>
  <c r="Z58" i="22" s="1"/>
  <c r="AA58" i="22" s="1"/>
  <c r="AB58" i="22" s="1"/>
  <c r="AC58" i="22" s="1"/>
  <c r="AD58" i="22" s="1"/>
  <c r="AE58" i="22" s="1"/>
  <c r="AF58" i="22" s="1"/>
  <c r="AG58" i="22" s="1"/>
  <c r="AH58" i="22" s="1"/>
  <c r="AI58" i="22" s="1"/>
  <c r="AJ58" i="22" s="1"/>
  <c r="AK58" i="22" s="1"/>
  <c r="AL58" i="22" s="1"/>
  <c r="B37" i="11"/>
  <c r="M14" i="21"/>
  <c r="N14" i="21"/>
  <c r="C31" i="47084"/>
  <c r="L155" i="47084"/>
  <c r="O155" i="47084"/>
  <c r="G106" i="2"/>
  <c r="H155" i="47084"/>
  <c r="L106" i="2"/>
  <c r="G155" i="47084"/>
  <c r="P155" i="47084"/>
  <c r="C155" i="47084"/>
  <c r="V163" i="47084"/>
  <c r="U163" i="47084"/>
  <c r="AB163" i="47084"/>
  <c r="O163" i="47084"/>
  <c r="AG163" i="47084"/>
  <c r="C171" i="47084" s="1"/>
  <c r="F163" i="47084"/>
  <c r="AF163" i="47084"/>
  <c r="AC29" i="47084"/>
  <c r="K29" i="47084"/>
  <c r="E106" i="2"/>
  <c r="S106" i="2"/>
  <c r="AC106" i="2"/>
  <c r="K155" i="47084"/>
  <c r="Q155" i="47084"/>
  <c r="J155" i="47084"/>
  <c r="R155" i="47084"/>
  <c r="N163" i="47084"/>
  <c r="M163" i="47084"/>
  <c r="T163" i="47084"/>
  <c r="AA163" i="47084"/>
  <c r="Z163" i="47084"/>
  <c r="Y163" i="47084"/>
  <c r="X163" i="47084"/>
  <c r="AD106" i="2"/>
  <c r="I155" i="47084"/>
  <c r="T106" i="2"/>
  <c r="X106" i="2"/>
  <c r="M155" i="47084"/>
  <c r="N155" i="47084"/>
  <c r="E163" i="47084"/>
  <c r="D163" i="47084"/>
  <c r="L163" i="47084"/>
  <c r="S163" i="47084"/>
  <c r="R163" i="47084"/>
  <c r="Q163" i="47084"/>
  <c r="P163" i="47084"/>
  <c r="AE163" i="47084"/>
  <c r="AD163" i="47084"/>
  <c r="W163" i="47084"/>
  <c r="C163" i="47084"/>
  <c r="J163" i="47084"/>
  <c r="I163" i="47084"/>
  <c r="H163" i="47084"/>
  <c r="G163" i="47084"/>
  <c r="Y21" i="47084"/>
  <c r="Y162" i="47084" s="1"/>
  <c r="V21" i="47084"/>
  <c r="V162" i="47084" s="1"/>
  <c r="G21" i="47084"/>
  <c r="G162" i="47084" s="1"/>
  <c r="W21" i="47084"/>
  <c r="W162" i="47084" s="1"/>
  <c r="Z21" i="47084"/>
  <c r="AB21" i="47084"/>
  <c r="AB162" i="47084" s="1"/>
  <c r="M21" i="47084"/>
  <c r="K21" i="47084"/>
  <c r="K162" i="47084" s="1"/>
  <c r="AA21" i="47084"/>
  <c r="AF21" i="47084"/>
  <c r="AF162" i="47084" s="1"/>
  <c r="E21" i="47084"/>
  <c r="E162" i="47084" s="1"/>
  <c r="O21" i="47084"/>
  <c r="O162" i="47084" s="1"/>
  <c r="AC21" i="47084"/>
  <c r="AC162" i="47084" s="1"/>
  <c r="S21" i="47084"/>
  <c r="S162" i="47084" s="1"/>
  <c r="R21" i="47084"/>
  <c r="R162" i="47084" s="1"/>
  <c r="Q21" i="47084"/>
  <c r="Q162" i="47084" s="1"/>
  <c r="U21" i="47084"/>
  <c r="U162" i="47084" s="1"/>
  <c r="X21" i="47084"/>
  <c r="I21" i="47084"/>
  <c r="I162" i="47084" s="1"/>
  <c r="L21" i="47084"/>
  <c r="L162" i="47084" s="1"/>
  <c r="F21" i="47084"/>
  <c r="P21" i="47084"/>
  <c r="P162" i="47084" s="1"/>
  <c r="AD21" i="47084"/>
  <c r="AG21" i="47084"/>
  <c r="AG162" i="47084" s="1"/>
  <c r="C170" i="47084" s="1"/>
  <c r="D162" i="47084"/>
  <c r="C162" i="47084"/>
  <c r="R14" i="21"/>
  <c r="F14" i="21"/>
  <c r="P11" i="26"/>
  <c r="E14" i="21"/>
  <c r="V14" i="21"/>
  <c r="G14" i="21"/>
  <c r="V11" i="26"/>
  <c r="V15" i="2" s="1"/>
  <c r="S11" i="26"/>
  <c r="K11" i="26"/>
  <c r="K15" i="2" s="1"/>
  <c r="U11" i="26"/>
  <c r="AE11" i="26"/>
  <c r="W11" i="26"/>
  <c r="O11" i="26"/>
  <c r="AD11" i="26"/>
  <c r="AD15" i="2" s="1"/>
  <c r="AA11" i="26"/>
  <c r="G11" i="26"/>
  <c r="M11" i="26"/>
  <c r="M15" i="2" s="1"/>
  <c r="F11" i="26"/>
  <c r="C11" i="26"/>
  <c r="C15" i="2" s="1"/>
  <c r="F156" i="47084"/>
  <c r="M156" i="47084"/>
  <c r="C156" i="47084"/>
  <c r="G156" i="47084"/>
  <c r="D156" i="47084"/>
  <c r="N156" i="47084"/>
  <c r="O156" i="47084"/>
  <c r="P156" i="47084"/>
  <c r="I156" i="47084"/>
  <c r="K156" i="47084"/>
  <c r="D106" i="2"/>
  <c r="Q14" i="21"/>
  <c r="AA14" i="21"/>
  <c r="D15" i="2"/>
  <c r="H14" i="21"/>
  <c r="K14" i="21"/>
  <c r="Y14" i="21"/>
  <c r="C14" i="21"/>
  <c r="AE11" i="2"/>
  <c r="I16" i="47084"/>
  <c r="AE14" i="21"/>
  <c r="U14" i="21"/>
  <c r="J14" i="21"/>
  <c r="S14" i="21"/>
  <c r="D17" i="2"/>
  <c r="I14" i="21"/>
  <c r="AF14" i="21"/>
  <c r="W14" i="21"/>
  <c r="AB14" i="21"/>
  <c r="T10" i="2"/>
  <c r="T16" i="47084"/>
  <c r="D14" i="21"/>
  <c r="AC14" i="21"/>
  <c r="C12" i="47084"/>
  <c r="H21" i="47084"/>
  <c r="X14" i="21"/>
  <c r="X13" i="2"/>
  <c r="D7" i="2"/>
  <c r="T14" i="21"/>
  <c r="N21" i="47084"/>
  <c r="J21" i="47084"/>
  <c r="T21" i="47084"/>
  <c r="Y6" i="2"/>
  <c r="N6" i="2"/>
  <c r="AE7" i="2"/>
  <c r="W10" i="2"/>
  <c r="T17" i="2"/>
  <c r="W7" i="47084"/>
  <c r="F6" i="2"/>
  <c r="AB7" i="2"/>
  <c r="T7" i="47084"/>
  <c r="X7" i="2"/>
  <c r="O7" i="2"/>
  <c r="Y17" i="2"/>
  <c r="X17" i="2"/>
  <c r="P7" i="47084"/>
  <c r="H7" i="2"/>
  <c r="W7" i="2"/>
  <c r="AB7" i="47084"/>
  <c r="Z7" i="2"/>
  <c r="AA6" i="2"/>
  <c r="K6" i="2"/>
  <c r="G7" i="47084"/>
  <c r="G7" i="2"/>
  <c r="V17" i="2"/>
  <c r="E7" i="47084"/>
  <c r="AD7" i="47084"/>
  <c r="V6" i="2"/>
  <c r="J7" i="2"/>
  <c r="O6" i="2"/>
  <c r="AD14" i="21"/>
  <c r="M7" i="47084"/>
  <c r="H7" i="47084"/>
  <c r="AG6" i="2"/>
  <c r="AA7" i="2"/>
  <c r="U7" i="2"/>
  <c r="AG10" i="2"/>
  <c r="AF10" i="2"/>
  <c r="AA17" i="2"/>
  <c r="U17" i="2"/>
  <c r="Q7" i="47084"/>
  <c r="Z6" i="2"/>
  <c r="R7" i="2"/>
  <c r="AE21" i="47084"/>
  <c r="E17" i="2"/>
  <c r="AD7" i="2"/>
  <c r="G17" i="2"/>
  <c r="Y24" i="22"/>
  <c r="L24" i="22"/>
  <c r="AF24" i="22"/>
  <c r="AD24" i="22"/>
  <c r="E24" i="22"/>
  <c r="S24" i="22"/>
  <c r="Z14" i="21"/>
  <c r="P14" i="21"/>
  <c r="G6" i="2"/>
  <c r="K7" i="47084"/>
  <c r="S6" i="2"/>
  <c r="U6" i="2"/>
  <c r="U7" i="47084"/>
  <c r="F24" i="22"/>
  <c r="M7" i="2"/>
  <c r="V7" i="2"/>
  <c r="AG7" i="2"/>
  <c r="S7" i="47084"/>
  <c r="AG24" i="22"/>
  <c r="H24" i="22"/>
  <c r="K24" i="22"/>
  <c r="W16" i="47084"/>
  <c r="V11" i="2"/>
  <c r="C10" i="2"/>
  <c r="R11" i="2"/>
  <c r="C107" i="2"/>
  <c r="AA24" i="22"/>
  <c r="C24" i="22"/>
  <c r="AA11" i="2"/>
  <c r="Y7" i="2"/>
  <c r="I7" i="2"/>
  <c r="M6" i="2"/>
  <c r="I6" i="2"/>
  <c r="Q6" i="2"/>
  <c r="D155" i="47084"/>
  <c r="K11" i="2"/>
  <c r="E155" i="47084"/>
  <c r="P11" i="2"/>
  <c r="J11" i="2"/>
  <c r="C11" i="2"/>
  <c r="Z17" i="2"/>
  <c r="Q14" i="2"/>
  <c r="Z24" i="22"/>
  <c r="AE24" i="22"/>
  <c r="N24" i="22"/>
  <c r="W24" i="22"/>
  <c r="Q24" i="22"/>
  <c r="O24" i="22"/>
  <c r="R24" i="22"/>
  <c r="U11" i="2"/>
  <c r="AB11" i="2"/>
  <c r="P7" i="2"/>
  <c r="J7" i="47084"/>
  <c r="F7" i="47084"/>
  <c r="J6" i="2"/>
  <c r="C7" i="47084"/>
  <c r="L6" i="2"/>
  <c r="F17" i="2"/>
  <c r="W17" i="2"/>
  <c r="V33" i="47084"/>
  <c r="D24" i="22"/>
  <c r="N11" i="2"/>
  <c r="O7" i="47084"/>
  <c r="AA7" i="47084"/>
  <c r="Y7" i="47084"/>
  <c r="AA33" i="47084"/>
  <c r="AA13" i="2"/>
  <c r="I33" i="47084"/>
  <c r="U24" i="22"/>
  <c r="M24" i="22"/>
  <c r="I24" i="22"/>
  <c r="V24" i="22"/>
  <c r="H11" i="2"/>
  <c r="N7" i="2"/>
  <c r="S7" i="2"/>
  <c r="V7" i="47084"/>
  <c r="E6" i="2"/>
  <c r="AD6" i="2"/>
  <c r="R7" i="47084"/>
  <c r="AB13" i="2"/>
  <c r="AB33" i="47084"/>
  <c r="AE13" i="2"/>
  <c r="AE33" i="47084"/>
  <c r="AC13" i="2"/>
  <c r="AC33" i="47084"/>
  <c r="AF13" i="2"/>
  <c r="AF33" i="47084"/>
  <c r="AC24" i="22"/>
  <c r="P24" i="22"/>
  <c r="T24" i="22"/>
  <c r="K7" i="2"/>
  <c r="H6" i="2"/>
  <c r="AG7" i="47084"/>
  <c r="AC7" i="47084"/>
  <c r="Z7" i="47084"/>
  <c r="T6" i="2"/>
  <c r="I7" i="47084"/>
  <c r="L7" i="47084"/>
  <c r="AC6" i="2"/>
  <c r="W6" i="2"/>
  <c r="AB6" i="2"/>
  <c r="P13" i="2"/>
  <c r="O13" i="2"/>
  <c r="AB15" i="2"/>
  <c r="H13" i="2"/>
  <c r="G24" i="22"/>
  <c r="X24" i="22"/>
  <c r="Y11" i="2"/>
  <c r="AA16" i="47084"/>
  <c r="AA10" i="2"/>
  <c r="E7" i="2"/>
  <c r="P6" i="2"/>
  <c r="X6" i="2"/>
  <c r="X7" i="47084"/>
  <c r="D7" i="47084"/>
  <c r="S33" i="47084"/>
  <c r="E15" i="2"/>
  <c r="AC15" i="2"/>
  <c r="R15" i="2"/>
  <c r="R157" i="47084"/>
  <c r="Y33" i="47084"/>
  <c r="R13" i="2"/>
  <c r="AG13" i="2"/>
  <c r="AD13" i="2"/>
  <c r="AB24" i="22"/>
  <c r="J24" i="22"/>
  <c r="AG11" i="2"/>
  <c r="Q11" i="2"/>
  <c r="W11" i="2"/>
  <c r="AF11" i="2"/>
  <c r="M11" i="2"/>
  <c r="V10" i="2"/>
  <c r="V16" i="47084"/>
  <c r="R16" i="47084"/>
  <c r="R10" i="2"/>
  <c r="AG16" i="47084"/>
  <c r="F16" i="47084"/>
  <c r="F10" i="2"/>
  <c r="P10" i="2"/>
  <c r="P16" i="47084"/>
  <c r="Q7" i="2"/>
  <c r="L7" i="2"/>
  <c r="F7" i="2"/>
  <c r="AC7" i="2"/>
  <c r="N7" i="47084"/>
  <c r="AF7" i="47084"/>
  <c r="R6" i="2"/>
  <c r="AE7" i="47084"/>
  <c r="AF6" i="2"/>
  <c r="D6" i="2"/>
  <c r="AE6" i="2"/>
  <c r="Y19" i="2"/>
  <c r="Y108" i="2"/>
  <c r="F13" i="2"/>
  <c r="N157" i="47084"/>
  <c r="N13" i="2"/>
  <c r="AE17" i="2"/>
  <c r="P17" i="2"/>
  <c r="H17" i="2"/>
  <c r="L17" i="2"/>
  <c r="AD17" i="2"/>
  <c r="N17" i="2"/>
  <c r="AC17" i="2"/>
  <c r="Q17" i="2"/>
  <c r="AG17" i="2"/>
  <c r="I17" i="2"/>
  <c r="S17" i="2"/>
  <c r="AB17" i="2"/>
  <c r="O17" i="2"/>
  <c r="J17" i="2"/>
  <c r="AF17" i="2"/>
  <c r="R17" i="2"/>
  <c r="M17" i="2"/>
  <c r="T15" i="2"/>
  <c r="Y15" i="2"/>
  <c r="H15" i="2"/>
  <c r="L15" i="2"/>
  <c r="Z15" i="2"/>
  <c r="X15" i="2"/>
  <c r="J15" i="2"/>
  <c r="AG15" i="2"/>
  <c r="J157" i="47084"/>
  <c r="Z11" i="2"/>
  <c r="F106" i="2"/>
  <c r="I11" i="2"/>
  <c r="O11" i="2"/>
  <c r="X16" i="47084"/>
  <c r="X10" i="2"/>
  <c r="E10" i="2"/>
  <c r="E16" i="47084"/>
  <c r="G10" i="2"/>
  <c r="G16" i="47084"/>
  <c r="L10" i="2"/>
  <c r="L16" i="47084"/>
  <c r="Z16" i="47084"/>
  <c r="Z10" i="2"/>
  <c r="Y16" i="47084"/>
  <c r="Y10" i="2"/>
  <c r="D16" i="47084"/>
  <c r="D10" i="2"/>
  <c r="AE10" i="2"/>
  <c r="AE16" i="47084"/>
  <c r="N16" i="47084"/>
  <c r="N10" i="2"/>
  <c r="U16" i="47084"/>
  <c r="U10" i="2"/>
  <c r="O16" i="47084"/>
  <c r="O10" i="2"/>
  <c r="J16" i="47084"/>
  <c r="J10" i="2"/>
  <c r="H16" i="47084"/>
  <c r="H10" i="2"/>
  <c r="AB10" i="2"/>
  <c r="AB16" i="47084"/>
  <c r="K16" i="47084"/>
  <c r="K10" i="2"/>
  <c r="AC16" i="47084"/>
  <c r="AC10" i="2"/>
  <c r="M16" i="47084"/>
  <c r="M10" i="2"/>
  <c r="Q16" i="47084"/>
  <c r="Q10" i="2"/>
  <c r="AD10" i="2"/>
  <c r="AD16" i="47084"/>
  <c r="S16" i="47084"/>
  <c r="S10" i="2"/>
  <c r="Z13" i="2"/>
  <c r="E13" i="2"/>
  <c r="V108" i="2"/>
  <c r="V19" i="2"/>
  <c r="D13" i="2"/>
  <c r="K13" i="2"/>
  <c r="T13" i="2"/>
  <c r="L108" i="2"/>
  <c r="L19" i="2"/>
  <c r="I19" i="2"/>
  <c r="I108" i="2"/>
  <c r="J108" i="2"/>
  <c r="J19" i="2"/>
  <c r="G13" i="2"/>
  <c r="U13" i="2"/>
  <c r="C13" i="2"/>
  <c r="L33" i="47084"/>
  <c r="L157" i="47084"/>
  <c r="H33" i="47084"/>
  <c r="H157" i="47084"/>
  <c r="Z33" i="47084"/>
  <c r="Q13" i="2"/>
  <c r="W13" i="2"/>
  <c r="O157" i="47084"/>
  <c r="O33" i="47084"/>
  <c r="M13" i="2"/>
  <c r="S19" i="2"/>
  <c r="S108" i="2"/>
  <c r="X33" i="47084"/>
  <c r="B28" i="21" l="1"/>
  <c r="D27" i="21" s="1"/>
  <c r="B21" i="16"/>
  <c r="D55" i="47089"/>
  <c r="E55" i="47089" s="1"/>
  <c r="F55" i="47089" s="1"/>
  <c r="G55" i="47089" s="1"/>
  <c r="H55" i="47089" s="1"/>
  <c r="I55" i="47089" s="1"/>
  <c r="J55" i="47089" s="1"/>
  <c r="K55" i="47089" s="1"/>
  <c r="L55" i="47089" s="1"/>
  <c r="M55" i="47089" s="1"/>
  <c r="N55" i="47089" s="1"/>
  <c r="O55" i="47089" s="1"/>
  <c r="P55" i="47089" s="1"/>
  <c r="Q55" i="47089" s="1"/>
  <c r="R55" i="47089" s="1"/>
  <c r="S55" i="47089" s="1"/>
  <c r="T55" i="47089" s="1"/>
  <c r="U55" i="47089" s="1"/>
  <c r="V55" i="47089" s="1"/>
  <c r="W55" i="47089" s="1"/>
  <c r="X55" i="47089" s="1"/>
  <c r="Y55" i="47089" s="1"/>
  <c r="Z55" i="47089" s="1"/>
  <c r="AA55" i="47089" s="1"/>
  <c r="AB55" i="47089" s="1"/>
  <c r="AC55" i="47089" s="1"/>
  <c r="AD55" i="47089" s="1"/>
  <c r="AE55" i="47089" s="1"/>
  <c r="AF55" i="47089" s="1"/>
  <c r="AG55" i="47089" s="1"/>
  <c r="AH55" i="47089" s="1"/>
  <c r="AI55" i="47089" s="1"/>
  <c r="AJ55" i="47089" s="1"/>
  <c r="AK55" i="47089" s="1"/>
  <c r="AL55" i="47089" s="1"/>
  <c r="O58" i="47089"/>
  <c r="AA27" i="28"/>
  <c r="AA26" i="28"/>
  <c r="D24" i="28"/>
  <c r="E24" i="28" s="1"/>
  <c r="F24" i="28" s="1"/>
  <c r="G24" i="28" s="1"/>
  <c r="H24" i="28" s="1"/>
  <c r="I24" i="28" s="1"/>
  <c r="J24" i="28" s="1"/>
  <c r="K24" i="28" s="1"/>
  <c r="L24" i="28" s="1"/>
  <c r="M24" i="28" s="1"/>
  <c r="N24" i="28" s="1"/>
  <c r="O24" i="28" s="1"/>
  <c r="P24" i="28" s="1"/>
  <c r="Q24" i="28" s="1"/>
  <c r="R24" i="28" s="1"/>
  <c r="S24" i="28" s="1"/>
  <c r="T24" i="28" s="1"/>
  <c r="U24" i="28" s="1"/>
  <c r="V24" i="28" s="1"/>
  <c r="W24" i="28" s="1"/>
  <c r="X24" i="28" s="1"/>
  <c r="Y24" i="28" s="1"/>
  <c r="Z24" i="28" s="1"/>
  <c r="AA24" i="28" s="1"/>
  <c r="AB24" i="28" s="1"/>
  <c r="AC24" i="28" s="1"/>
  <c r="AD24" i="28" s="1"/>
  <c r="AE24" i="28" s="1"/>
  <c r="AF24" i="28" s="1"/>
  <c r="AG24" i="28" s="1"/>
  <c r="AH24" i="28" s="1"/>
  <c r="AI24" i="28" s="1"/>
  <c r="AJ24" i="28" s="1"/>
  <c r="AK24" i="28" s="1"/>
  <c r="AL24" i="28" s="1"/>
  <c r="D34" i="26"/>
  <c r="E34" i="26" s="1"/>
  <c r="F34" i="26" s="1"/>
  <c r="G34" i="26" s="1"/>
  <c r="H34" i="26" s="1"/>
  <c r="I34" i="26" s="1"/>
  <c r="J34" i="26" s="1"/>
  <c r="K34" i="26" s="1"/>
  <c r="L34" i="26" s="1"/>
  <c r="M34" i="26" s="1"/>
  <c r="N34" i="26" s="1"/>
  <c r="O34" i="26" s="1"/>
  <c r="P34" i="26" s="1"/>
  <c r="Q34" i="26" s="1"/>
  <c r="R34" i="26" s="1"/>
  <c r="S34" i="26" s="1"/>
  <c r="T34" i="26" s="1"/>
  <c r="U34" i="26" s="1"/>
  <c r="V34" i="26" s="1"/>
  <c r="W34" i="26" s="1"/>
  <c r="X34" i="26" s="1"/>
  <c r="Y34" i="26" s="1"/>
  <c r="Z34" i="26" s="1"/>
  <c r="AA34" i="26" s="1"/>
  <c r="AB34" i="26" s="1"/>
  <c r="AC34" i="26" s="1"/>
  <c r="AD34" i="26" s="1"/>
  <c r="AE34" i="26" s="1"/>
  <c r="AF34" i="26" s="1"/>
  <c r="AG34" i="26" s="1"/>
  <c r="AH34" i="26" s="1"/>
  <c r="AI34" i="26" s="1"/>
  <c r="AJ34" i="26" s="1"/>
  <c r="AK34" i="26" s="1"/>
  <c r="AL34" i="26" s="1"/>
  <c r="U39" i="26"/>
  <c r="U38" i="26"/>
  <c r="U37" i="26"/>
  <c r="B26" i="22"/>
  <c r="O28" i="16"/>
  <c r="D22" i="16"/>
  <c r="E22" i="16" s="1"/>
  <c r="F22" i="16" s="1"/>
  <c r="G22" i="16" s="1"/>
  <c r="H22" i="16" s="1"/>
  <c r="I22" i="16" s="1"/>
  <c r="J22" i="16" s="1"/>
  <c r="K22" i="16" s="1"/>
  <c r="L22" i="16" s="1"/>
  <c r="M22" i="16" s="1"/>
  <c r="N22" i="16" s="1"/>
  <c r="O22" i="16" s="1"/>
  <c r="P22" i="16" s="1"/>
  <c r="Q22" i="16" s="1"/>
  <c r="R22" i="16" s="1"/>
  <c r="S22" i="16" s="1"/>
  <c r="T22" i="16" s="1"/>
  <c r="U22" i="16" s="1"/>
  <c r="V22" i="16" s="1"/>
  <c r="W22" i="16" s="1"/>
  <c r="X22" i="16" s="1"/>
  <c r="Y22" i="16" s="1"/>
  <c r="Z22" i="16" s="1"/>
  <c r="AA22" i="16" s="1"/>
  <c r="AB22" i="16" s="1"/>
  <c r="AC22" i="16" s="1"/>
  <c r="AD22" i="16" s="1"/>
  <c r="AE22" i="16" s="1"/>
  <c r="AF22" i="16" s="1"/>
  <c r="AG22" i="16" s="1"/>
  <c r="AH22" i="16" s="1"/>
  <c r="AI22" i="16" s="1"/>
  <c r="AJ22" i="16" s="1"/>
  <c r="AK22" i="16" s="1"/>
  <c r="AL22" i="16" s="1"/>
  <c r="AA41" i="11"/>
  <c r="AA40" i="11"/>
  <c r="M33" i="24"/>
  <c r="D29" i="24"/>
  <c r="E29" i="24" s="1"/>
  <c r="F29" i="24" s="1"/>
  <c r="G29" i="24" s="1"/>
  <c r="H29" i="24" s="1"/>
  <c r="I29" i="24" s="1"/>
  <c r="J29" i="24" s="1"/>
  <c r="K29" i="24" s="1"/>
  <c r="L29" i="24" s="1"/>
  <c r="M29" i="24" s="1"/>
  <c r="N29" i="24" s="1"/>
  <c r="O29" i="24" s="1"/>
  <c r="P29" i="24" s="1"/>
  <c r="Q29" i="24" s="1"/>
  <c r="R29" i="24" s="1"/>
  <c r="S29" i="24" s="1"/>
  <c r="T29" i="24" s="1"/>
  <c r="U29" i="24" s="1"/>
  <c r="V29" i="24" s="1"/>
  <c r="W29" i="24" s="1"/>
  <c r="X29" i="24" s="1"/>
  <c r="Y29" i="24" s="1"/>
  <c r="Z29" i="24" s="1"/>
  <c r="AA29" i="24" s="1"/>
  <c r="AB29" i="24" s="1"/>
  <c r="AC29" i="24" s="1"/>
  <c r="AD29" i="24" s="1"/>
  <c r="AE29" i="24" s="1"/>
  <c r="AF29" i="24" s="1"/>
  <c r="AG29" i="24" s="1"/>
  <c r="AH29" i="24" s="1"/>
  <c r="AI29" i="24" s="1"/>
  <c r="AJ29" i="24" s="1"/>
  <c r="AK29" i="24" s="1"/>
  <c r="AL29" i="24" s="1"/>
  <c r="D38" i="11"/>
  <c r="E38" i="11" s="1"/>
  <c r="F38" i="11" s="1"/>
  <c r="G38" i="11" s="1"/>
  <c r="H38" i="11" s="1"/>
  <c r="I38" i="11" s="1"/>
  <c r="J38" i="11" s="1"/>
  <c r="K38" i="11" s="1"/>
  <c r="L38" i="11" s="1"/>
  <c r="M38" i="11" s="1"/>
  <c r="N38" i="11" s="1"/>
  <c r="O38" i="11" s="1"/>
  <c r="P38" i="11" s="1"/>
  <c r="Q38" i="11" s="1"/>
  <c r="R38" i="11" s="1"/>
  <c r="S38" i="11" s="1"/>
  <c r="T38" i="11" s="1"/>
  <c r="U38" i="11" s="1"/>
  <c r="V38" i="11" s="1"/>
  <c r="W38" i="11" s="1"/>
  <c r="X38" i="11" s="1"/>
  <c r="Y38" i="11" s="1"/>
  <c r="Z38" i="11" s="1"/>
  <c r="AA38" i="11" s="1"/>
  <c r="AB38" i="11" s="1"/>
  <c r="AC38" i="11" s="1"/>
  <c r="AD38" i="11" s="1"/>
  <c r="AE38" i="11" s="1"/>
  <c r="AF38" i="11" s="1"/>
  <c r="AG38" i="11" s="1"/>
  <c r="AH38" i="11" s="1"/>
  <c r="AI38" i="11" s="1"/>
  <c r="AJ38" i="11" s="1"/>
  <c r="AK38" i="11" s="1"/>
  <c r="AL38" i="11" s="1"/>
  <c r="R31" i="47084"/>
  <c r="Q31" i="47084"/>
  <c r="Z31" i="47084"/>
  <c r="AF31" i="47084"/>
  <c r="AC31" i="47084"/>
  <c r="V31" i="47084"/>
  <c r="J31" i="47084"/>
  <c r="N31" i="47084"/>
  <c r="U31" i="47084"/>
  <c r="O31" i="47084"/>
  <c r="AD31" i="47084"/>
  <c r="G31" i="47084"/>
  <c r="AA31" i="47084"/>
  <c r="X31" i="47084"/>
  <c r="T31" i="47084"/>
  <c r="AB31" i="47084"/>
  <c r="L31" i="47084"/>
  <c r="W31" i="47084"/>
  <c r="Y31" i="47084"/>
  <c r="S31" i="47084"/>
  <c r="H31" i="47084"/>
  <c r="F31" i="47084"/>
  <c r="E31" i="47084"/>
  <c r="I31" i="47084"/>
  <c r="P31" i="47084"/>
  <c r="M31" i="47084"/>
  <c r="AG31" i="47084"/>
  <c r="AE31" i="47084"/>
  <c r="AG14" i="2"/>
  <c r="R14" i="2"/>
  <c r="AC14" i="2"/>
  <c r="X14" i="2"/>
  <c r="Z14" i="2"/>
  <c r="M14" i="2"/>
  <c r="K14" i="2"/>
  <c r="L14" i="2"/>
  <c r="X162" i="47084"/>
  <c r="H14" i="2"/>
  <c r="V14" i="2"/>
  <c r="Y14" i="2"/>
  <c r="AD14" i="2"/>
  <c r="F162" i="47084"/>
  <c r="J14" i="2"/>
  <c r="T14" i="2"/>
  <c r="AB14" i="2"/>
  <c r="Q109" i="2"/>
  <c r="F19" i="2"/>
  <c r="AC108" i="2"/>
  <c r="AD162" i="47084"/>
  <c r="AE108" i="2"/>
  <c r="AA19" i="2"/>
  <c r="H108" i="2"/>
  <c r="X108" i="2"/>
  <c r="AA162" i="47084"/>
  <c r="AB108" i="2"/>
  <c r="O19" i="2"/>
  <c r="Z108" i="2"/>
  <c r="N19" i="2"/>
  <c r="P19" i="2"/>
  <c r="AF19" i="2"/>
  <c r="Z162" i="47084"/>
  <c r="K106" i="2"/>
  <c r="M106" i="2"/>
  <c r="I106" i="2"/>
  <c r="AF106" i="2"/>
  <c r="Y106" i="2"/>
  <c r="AC163" i="47084"/>
  <c r="AA106" i="2"/>
  <c r="O106" i="2"/>
  <c r="N106" i="2"/>
  <c r="AE106" i="2"/>
  <c r="W106" i="2"/>
  <c r="C106" i="2"/>
  <c r="Z106" i="2"/>
  <c r="Q106" i="2"/>
  <c r="AB106" i="2"/>
  <c r="AG106" i="2"/>
  <c r="C94" i="2" s="1"/>
  <c r="H106" i="2"/>
  <c r="U106" i="2"/>
  <c r="J106" i="2"/>
  <c r="R106" i="2"/>
  <c r="P106" i="2"/>
  <c r="M162" i="47084"/>
  <c r="V106" i="2"/>
  <c r="K163" i="47084"/>
  <c r="Z12" i="47084"/>
  <c r="M12" i="47084"/>
  <c r="M161" i="47084" s="1"/>
  <c r="X12" i="47084"/>
  <c r="X161" i="47084" s="1"/>
  <c r="P12" i="47084"/>
  <c r="L12" i="47084"/>
  <c r="L161" i="47084" s="1"/>
  <c r="S12" i="47084"/>
  <c r="S161" i="47084" s="1"/>
  <c r="J12" i="47084"/>
  <c r="J161" i="47084" s="1"/>
  <c r="AD12" i="47084"/>
  <c r="AD161" i="47084" s="1"/>
  <c r="G12" i="47084"/>
  <c r="G161" i="47084" s="1"/>
  <c r="T12" i="47084"/>
  <c r="T161" i="47084" s="1"/>
  <c r="N12" i="47084"/>
  <c r="N161" i="47084" s="1"/>
  <c r="AA12" i="47084"/>
  <c r="W12" i="47084"/>
  <c r="W161" i="47084" s="1"/>
  <c r="AC12" i="47084"/>
  <c r="AC161" i="47084" s="1"/>
  <c r="K12" i="47084"/>
  <c r="K161" i="47084" s="1"/>
  <c r="O12" i="47084"/>
  <c r="O161" i="47084" s="1"/>
  <c r="AG12" i="47084"/>
  <c r="AG161" i="47084" s="1"/>
  <c r="C169" i="47084" s="1"/>
  <c r="AF102" i="2"/>
  <c r="T102" i="2"/>
  <c r="AE12" i="47084"/>
  <c r="AB12" i="47084"/>
  <c r="AB161" i="47084" s="1"/>
  <c r="Q12" i="47084"/>
  <c r="Q161" i="47084" s="1"/>
  <c r="U12" i="47084"/>
  <c r="U161" i="47084" s="1"/>
  <c r="Y12" i="47084"/>
  <c r="Y161" i="47084" s="1"/>
  <c r="R12" i="47084"/>
  <c r="R161" i="47084" s="1"/>
  <c r="C5" i="2"/>
  <c r="C105" i="2" s="1"/>
  <c r="V12" i="47084"/>
  <c r="V161" i="47084" s="1"/>
  <c r="H12" i="47084"/>
  <c r="H161" i="47084" s="1"/>
  <c r="I12" i="47084"/>
  <c r="I161" i="47084" s="1"/>
  <c r="AF161" i="47084"/>
  <c r="H162" i="47084"/>
  <c r="T162" i="47084"/>
  <c r="J162" i="47084"/>
  <c r="N162" i="47084"/>
  <c r="I102" i="2"/>
  <c r="AE162" i="47084"/>
  <c r="X5" i="47084"/>
  <c r="X160" i="47084" s="1"/>
  <c r="AD5" i="47084"/>
  <c r="C161" i="47084"/>
  <c r="C14" i="2"/>
  <c r="C109" i="2" s="1"/>
  <c r="D31" i="47084"/>
  <c r="AA15" i="2"/>
  <c r="F15" i="2"/>
  <c r="H102" i="2"/>
  <c r="AF5" i="2"/>
  <c r="D102" i="2"/>
  <c r="AA5" i="47084"/>
  <c r="F5" i="47084"/>
  <c r="AF5" i="47084"/>
  <c r="V5" i="47084"/>
  <c r="W5" i="47084"/>
  <c r="T5" i="2"/>
  <c r="AE5" i="47084"/>
  <c r="Y5" i="47084"/>
  <c r="AB5" i="47084"/>
  <c r="T5" i="47084"/>
  <c r="AC5" i="47084"/>
  <c r="U5" i="47084"/>
  <c r="O15" i="2"/>
  <c r="AD6" i="47084"/>
  <c r="AG102" i="2"/>
  <c r="O5" i="2"/>
  <c r="U102" i="2"/>
  <c r="R102" i="2"/>
  <c r="V102" i="2"/>
  <c r="S5" i="47084"/>
  <c r="K154" i="47084"/>
  <c r="K5" i="47084"/>
  <c r="Q154" i="47084"/>
  <c r="Q5" i="47084"/>
  <c r="H154" i="47084"/>
  <c r="H5" i="47084"/>
  <c r="AG5" i="47084"/>
  <c r="L154" i="47084"/>
  <c r="L5" i="47084"/>
  <c r="Z6" i="47084"/>
  <c r="Z5" i="47084"/>
  <c r="R154" i="47084"/>
  <c r="R5" i="47084"/>
  <c r="C154" i="47084"/>
  <c r="C5" i="47084"/>
  <c r="E154" i="47084"/>
  <c r="E5" i="47084"/>
  <c r="I154" i="47084"/>
  <c r="I5" i="47084"/>
  <c r="O154" i="47084"/>
  <c r="O5" i="47084"/>
  <c r="J154" i="47084"/>
  <c r="J5" i="47084"/>
  <c r="G154" i="47084"/>
  <c r="G5" i="47084"/>
  <c r="N154" i="47084"/>
  <c r="N5" i="47084"/>
  <c r="D154" i="47084"/>
  <c r="D5" i="47084"/>
  <c r="M154" i="47084"/>
  <c r="M5" i="47084"/>
  <c r="P154" i="47084"/>
  <c r="P5" i="47084"/>
  <c r="H6" i="47084"/>
  <c r="W102" i="2"/>
  <c r="AB102" i="2"/>
  <c r="AA5" i="2"/>
  <c r="W5" i="2"/>
  <c r="X19" i="2"/>
  <c r="AD102" i="2"/>
  <c r="J102" i="2"/>
  <c r="M102" i="2"/>
  <c r="G102" i="2"/>
  <c r="AA108" i="2"/>
  <c r="Y102" i="2"/>
  <c r="Y5" i="2"/>
  <c r="AG5" i="2"/>
  <c r="I157" i="47084"/>
  <c r="N33" i="47084"/>
  <c r="C102" i="2"/>
  <c r="U5" i="2"/>
  <c r="O102" i="2"/>
  <c r="E102" i="2"/>
  <c r="AE15" i="2"/>
  <c r="D5" i="2"/>
  <c r="I5" i="2"/>
  <c r="F6" i="47084"/>
  <c r="AF15" i="2"/>
  <c r="E14" i="2"/>
  <c r="D14" i="2"/>
  <c r="D12" i="47084"/>
  <c r="E12" i="47084"/>
  <c r="F5" i="2"/>
  <c r="F12" i="47084"/>
  <c r="S5" i="2"/>
  <c r="E5" i="2"/>
  <c r="P102" i="2"/>
  <c r="O6" i="47084"/>
  <c r="AG6" i="47084"/>
  <c r="F154" i="47084"/>
  <c r="AE19" i="2"/>
  <c r="W15" i="2"/>
  <c r="G15" i="2"/>
  <c r="O108" i="2"/>
  <c r="H19" i="2"/>
  <c r="Q102" i="2"/>
  <c r="I6" i="47084"/>
  <c r="P108" i="2"/>
  <c r="AC19" i="2"/>
  <c r="N102" i="2"/>
  <c r="AA6" i="47084"/>
  <c r="AB19" i="2"/>
  <c r="AB6" i="47084"/>
  <c r="Y6" i="47084"/>
  <c r="AF108" i="2"/>
  <c r="AA102" i="2"/>
  <c r="K5" i="2"/>
  <c r="L6" i="47084"/>
  <c r="V6" i="47084"/>
  <c r="X6" i="47084"/>
  <c r="S6" i="47084"/>
  <c r="P157" i="47084"/>
  <c r="P33" i="47084"/>
  <c r="AC6" i="47084"/>
  <c r="U15" i="2"/>
  <c r="P5" i="2"/>
  <c r="N5" i="2"/>
  <c r="H5" i="2"/>
  <c r="R5" i="2"/>
  <c r="AC102" i="2"/>
  <c r="AE5" i="2"/>
  <c r="S15" i="2"/>
  <c r="P6" i="47084"/>
  <c r="F33" i="47084"/>
  <c r="Q5" i="2"/>
  <c r="L5" i="2"/>
  <c r="N6" i="47084"/>
  <c r="R6" i="47084"/>
  <c r="F157" i="47084"/>
  <c r="Z19" i="2"/>
  <c r="R33" i="47084"/>
  <c r="N108" i="2"/>
  <c r="R108" i="2"/>
  <c r="R19" i="2"/>
  <c r="AD19" i="2"/>
  <c r="AD108" i="2"/>
  <c r="AG108" i="2"/>
  <c r="C96" i="2" s="1"/>
  <c r="AG19" i="2"/>
  <c r="V5" i="2"/>
  <c r="AE102" i="2"/>
  <c r="L102" i="2"/>
  <c r="F102" i="2"/>
  <c r="AE6" i="47084"/>
  <c r="AF6" i="47084"/>
  <c r="F108" i="2"/>
  <c r="P15" i="2"/>
  <c r="N15" i="2"/>
  <c r="I15" i="2"/>
  <c r="J33" i="47084"/>
  <c r="J6" i="47084"/>
  <c r="K102" i="2"/>
  <c r="M5" i="2"/>
  <c r="G5" i="2"/>
  <c r="AD5" i="2"/>
  <c r="AB5" i="2"/>
  <c r="Z102" i="2"/>
  <c r="Z5" i="2"/>
  <c r="X5" i="2"/>
  <c r="X102" i="2"/>
  <c r="AC5" i="2"/>
  <c r="S102" i="2"/>
  <c r="J5" i="2"/>
  <c r="E108" i="2"/>
  <c r="E19" i="2"/>
  <c r="E6" i="47084"/>
  <c r="E157" i="47084"/>
  <c r="E33" i="47084"/>
  <c r="U108" i="2"/>
  <c r="U19" i="2"/>
  <c r="W33" i="47084"/>
  <c r="W6" i="47084"/>
  <c r="C19" i="2"/>
  <c r="C108" i="2"/>
  <c r="T19" i="2"/>
  <c r="T108" i="2"/>
  <c r="K33" i="47084"/>
  <c r="K6" i="47084"/>
  <c r="K157" i="47084"/>
  <c r="M33" i="47084"/>
  <c r="M6" i="47084"/>
  <c r="M157" i="47084"/>
  <c r="W19" i="2"/>
  <c r="W108" i="2"/>
  <c r="U33" i="47084"/>
  <c r="U6" i="47084"/>
  <c r="G19" i="2"/>
  <c r="G108" i="2"/>
  <c r="T33" i="47084"/>
  <c r="T6" i="47084"/>
  <c r="D19" i="2"/>
  <c r="D108" i="2"/>
  <c r="M108" i="2"/>
  <c r="M19" i="2"/>
  <c r="Q157" i="47084"/>
  <c r="Q33" i="47084"/>
  <c r="Q6" i="47084"/>
  <c r="C6" i="47084"/>
  <c r="C33" i="47084"/>
  <c r="C157" i="47084"/>
  <c r="Q19" i="2"/>
  <c r="Q108" i="2"/>
  <c r="G33" i="47084"/>
  <c r="G6" i="47084"/>
  <c r="G157" i="47084"/>
  <c r="K19" i="2"/>
  <c r="K108" i="2"/>
  <c r="D33" i="47084"/>
  <c r="D6" i="47084"/>
  <c r="D157" i="47084"/>
  <c r="E27" i="21" l="1"/>
  <c r="F27" i="21" s="1"/>
  <c r="G27" i="21" s="1"/>
  <c r="H27" i="21" s="1"/>
  <c r="I27" i="21" s="1"/>
  <c r="J27" i="21" s="1"/>
  <c r="K27" i="21" s="1"/>
  <c r="L27" i="21" s="1"/>
  <c r="M27" i="21" s="1"/>
  <c r="N27" i="21" s="1"/>
  <c r="O27" i="21" s="1"/>
  <c r="P27" i="21" s="1"/>
  <c r="Q27" i="21" s="1"/>
  <c r="R27" i="21" s="1"/>
  <c r="S27" i="21" s="1"/>
  <c r="T27" i="21" s="1"/>
  <c r="U27" i="21" s="1"/>
  <c r="V27" i="21" s="1"/>
  <c r="W27" i="21" s="1"/>
  <c r="X27" i="21" s="1"/>
  <c r="Y27" i="21" s="1"/>
  <c r="Z27" i="21" s="1"/>
  <c r="AA27" i="21" s="1"/>
  <c r="AB27" i="21" s="1"/>
  <c r="AC27" i="21" s="1"/>
  <c r="AD27" i="21" s="1"/>
  <c r="AE27" i="21" s="1"/>
  <c r="AF27" i="21" s="1"/>
  <c r="AG27" i="21" s="1"/>
  <c r="AH27" i="21" s="1"/>
  <c r="AI27" i="21" s="1"/>
  <c r="AJ27" i="21" s="1"/>
  <c r="AK27" i="21" s="1"/>
  <c r="AL27" i="21" s="1"/>
  <c r="O34" i="21"/>
  <c r="R61" i="22"/>
  <c r="D25" i="22"/>
  <c r="E25" i="22" s="1"/>
  <c r="F25" i="22" s="1"/>
  <c r="G25" i="22" s="1"/>
  <c r="H25" i="22" s="1"/>
  <c r="I25" i="22" s="1"/>
  <c r="J25" i="22" s="1"/>
  <c r="K25" i="22" s="1"/>
  <c r="L25" i="22" s="1"/>
  <c r="M25" i="22" s="1"/>
  <c r="N25" i="22" s="1"/>
  <c r="O25" i="22" s="1"/>
  <c r="P25" i="22" s="1"/>
  <c r="Q25" i="22" s="1"/>
  <c r="R25" i="22" s="1"/>
  <c r="S25" i="22" s="1"/>
  <c r="T25" i="22" s="1"/>
  <c r="U25" i="22" s="1"/>
  <c r="V25" i="22" s="1"/>
  <c r="W25" i="22" s="1"/>
  <c r="X25" i="22" s="1"/>
  <c r="Y25" i="22" s="1"/>
  <c r="Z25" i="22" s="1"/>
  <c r="AA25" i="22" s="1"/>
  <c r="AB25" i="22" s="1"/>
  <c r="AC25" i="22" s="1"/>
  <c r="AD25" i="22" s="1"/>
  <c r="AE25" i="22" s="1"/>
  <c r="AF25" i="22" s="1"/>
  <c r="AG25" i="22" s="1"/>
  <c r="AH25" i="22" s="1"/>
  <c r="AI25" i="22" s="1"/>
  <c r="AJ25" i="22" s="1"/>
  <c r="AK25" i="22" s="1"/>
  <c r="AL25" i="22" s="1"/>
  <c r="AE14" i="2"/>
  <c r="AD109" i="2"/>
  <c r="AB109" i="2"/>
  <c r="L109" i="2"/>
  <c r="X109" i="2"/>
  <c r="E109" i="2"/>
  <c r="Y109" i="2"/>
  <c r="AF14" i="2"/>
  <c r="AF18" i="2" s="1"/>
  <c r="AF23" i="2" s="1"/>
  <c r="T109" i="2"/>
  <c r="K109" i="2"/>
  <c r="AC109" i="2"/>
  <c r="G14" i="2"/>
  <c r="G18" i="2" s="1"/>
  <c r="G23" i="2" s="1"/>
  <c r="V109" i="2"/>
  <c r="I14" i="2"/>
  <c r="I109" i="2" s="1"/>
  <c r="W14" i="2"/>
  <c r="W18" i="2" s="1"/>
  <c r="W23" i="2" s="1"/>
  <c r="O14" i="2"/>
  <c r="O18" i="2" s="1"/>
  <c r="O23" i="2" s="1"/>
  <c r="F14" i="2"/>
  <c r="F18" i="2" s="1"/>
  <c r="F23" i="2" s="1"/>
  <c r="P161" i="47084"/>
  <c r="J109" i="2"/>
  <c r="M109" i="2"/>
  <c r="R109" i="2"/>
  <c r="N14" i="2"/>
  <c r="N109" i="2" s="1"/>
  <c r="U14" i="2"/>
  <c r="U18" i="2" s="1"/>
  <c r="U23" i="2" s="1"/>
  <c r="H109" i="2"/>
  <c r="P14" i="2"/>
  <c r="P18" i="2" s="1"/>
  <c r="P23" i="2" s="1"/>
  <c r="S14" i="2"/>
  <c r="S18" i="2" s="1"/>
  <c r="S23" i="2" s="1"/>
  <c r="AA14" i="2"/>
  <c r="AA161" i="47084"/>
  <c r="Z109" i="2"/>
  <c r="AG109" i="2"/>
  <c r="C97" i="2" s="1"/>
  <c r="AE161" i="47084"/>
  <c r="AD32" i="47084"/>
  <c r="Z161" i="47084"/>
  <c r="X32" i="47084"/>
  <c r="F161" i="47084"/>
  <c r="D161" i="47084"/>
  <c r="E161" i="47084"/>
  <c r="AA32" i="47084"/>
  <c r="S105" i="2"/>
  <c r="T105" i="2"/>
  <c r="AF105" i="2"/>
  <c r="L105" i="2"/>
  <c r="Q105" i="2"/>
  <c r="N32" i="47084"/>
  <c r="L32" i="47084"/>
  <c r="L38" i="47084" s="1"/>
  <c r="F105" i="2"/>
  <c r="I105" i="2"/>
  <c r="S160" i="47084"/>
  <c r="V160" i="47084"/>
  <c r="H105" i="2"/>
  <c r="Y160" i="47084"/>
  <c r="AE160" i="47084"/>
  <c r="V105" i="2"/>
  <c r="P160" i="47084"/>
  <c r="AG105" i="2"/>
  <c r="C93" i="2" s="1"/>
  <c r="J32" i="47084"/>
  <c r="J38" i="47084" s="1"/>
  <c r="C32" i="47084"/>
  <c r="AG160" i="47084"/>
  <c r="C168" i="47084" s="1"/>
  <c r="AC160" i="47084"/>
  <c r="AD160" i="47084"/>
  <c r="N105" i="2"/>
  <c r="U105" i="2"/>
  <c r="Z160" i="47084"/>
  <c r="K105" i="2"/>
  <c r="G105" i="2"/>
  <c r="M105" i="2"/>
  <c r="Y105" i="2"/>
  <c r="W105" i="2"/>
  <c r="H160" i="47084"/>
  <c r="F160" i="47084"/>
  <c r="E105" i="2"/>
  <c r="O105" i="2"/>
  <c r="I160" i="47084"/>
  <c r="P105" i="2"/>
  <c r="R105" i="2"/>
  <c r="AA105" i="2"/>
  <c r="O160" i="47084"/>
  <c r="R160" i="47084"/>
  <c r="AB160" i="47084"/>
  <c r="D109" i="2"/>
  <c r="C18" i="2"/>
  <c r="D105" i="2"/>
  <c r="T18" i="2"/>
  <c r="T23" i="2" s="1"/>
  <c r="AG32" i="47084"/>
  <c r="H32" i="47084"/>
  <c r="H38" i="47084" s="1"/>
  <c r="J160" i="47084"/>
  <c r="Y18" i="2"/>
  <c r="Y23" i="2" s="1"/>
  <c r="AG18" i="2"/>
  <c r="AG23" i="2" s="1"/>
  <c r="Y32" i="47084"/>
  <c r="Y38" i="47084" s="1"/>
  <c r="V32" i="47084"/>
  <c r="V38" i="47084" s="1"/>
  <c r="I32" i="47084"/>
  <c r="I38" i="47084" s="1"/>
  <c r="AB32" i="47084"/>
  <c r="AB38" i="47084" s="1"/>
  <c r="O32" i="47084"/>
  <c r="O38" i="47084" s="1"/>
  <c r="R32" i="47084"/>
  <c r="R38" i="47084" s="1"/>
  <c r="AA160" i="47084"/>
  <c r="P32" i="47084"/>
  <c r="P38" i="47084" s="1"/>
  <c r="Q18" i="2"/>
  <c r="Q23" i="2" s="1"/>
  <c r="K18" i="2"/>
  <c r="K23" i="2" s="1"/>
  <c r="AC32" i="47084"/>
  <c r="AC38" i="47084" s="1"/>
  <c r="Z32" i="47084"/>
  <c r="Z38" i="47084" s="1"/>
  <c r="L160" i="47084"/>
  <c r="S32" i="47084"/>
  <c r="S38" i="47084" s="1"/>
  <c r="AE105" i="2"/>
  <c r="L18" i="2"/>
  <c r="L23" i="2" s="1"/>
  <c r="R18" i="2"/>
  <c r="R23" i="2" s="1"/>
  <c r="H18" i="2"/>
  <c r="H23" i="2" s="1"/>
  <c r="E18" i="2"/>
  <c r="E23" i="2" s="1"/>
  <c r="D18" i="2"/>
  <c r="D23" i="2" s="1"/>
  <c r="F32" i="47084"/>
  <c r="F38" i="47084" s="1"/>
  <c r="N160" i="47084"/>
  <c r="V18" i="2"/>
  <c r="V23" i="2" s="1"/>
  <c r="AE32" i="47084"/>
  <c r="AE38" i="47084" s="1"/>
  <c r="M18" i="2"/>
  <c r="M23" i="2" s="1"/>
  <c r="AF160" i="47084"/>
  <c r="AF32" i="47084"/>
  <c r="J105" i="2"/>
  <c r="J18" i="2"/>
  <c r="J23" i="2" s="1"/>
  <c r="AB18" i="2"/>
  <c r="AB23" i="2" s="1"/>
  <c r="AB105" i="2"/>
  <c r="X105" i="2"/>
  <c r="X18" i="2"/>
  <c r="X23" i="2" s="1"/>
  <c r="AD18" i="2"/>
  <c r="AD23" i="2" s="1"/>
  <c r="AD105" i="2"/>
  <c r="AC105" i="2"/>
  <c r="AC18" i="2"/>
  <c r="AC23" i="2" s="1"/>
  <c r="Z105" i="2"/>
  <c r="Z18" i="2"/>
  <c r="Z23" i="2" s="1"/>
  <c r="E160" i="47084"/>
  <c r="E32" i="47084"/>
  <c r="E38" i="47084" s="1"/>
  <c r="Q160" i="47084"/>
  <c r="Q32" i="47084"/>
  <c r="Q38" i="47084" s="1"/>
  <c r="T32" i="47084"/>
  <c r="T38" i="47084" s="1"/>
  <c r="T160" i="47084"/>
  <c r="D160" i="47084"/>
  <c r="D32" i="47084"/>
  <c r="D38" i="47084" s="1"/>
  <c r="G32" i="47084"/>
  <c r="G38" i="47084" s="1"/>
  <c r="G160" i="47084"/>
  <c r="W32" i="47084"/>
  <c r="W38" i="47084" s="1"/>
  <c r="W160" i="47084"/>
  <c r="M160" i="47084"/>
  <c r="M32" i="47084"/>
  <c r="M38" i="47084" s="1"/>
  <c r="C160" i="47084"/>
  <c r="U32" i="47084"/>
  <c r="U38" i="47084" s="1"/>
  <c r="U160" i="47084"/>
  <c r="K160" i="47084"/>
  <c r="K32" i="47084"/>
  <c r="K38" i="47084" s="1"/>
  <c r="N18" i="2" l="1"/>
  <c r="N23" i="2" s="1"/>
  <c r="AG38" i="47084"/>
  <c r="AG6" i="47088"/>
  <c r="AG9" i="47088" s="1"/>
  <c r="AG11" i="47088"/>
  <c r="AF38" i="47084"/>
  <c r="AF11" i="47088"/>
  <c r="AA6" i="47088"/>
  <c r="AA9" i="47088" s="1"/>
  <c r="AA38" i="47084"/>
  <c r="AD11" i="47088"/>
  <c r="AD38" i="47084"/>
  <c r="N6" i="47088"/>
  <c r="N9" i="47088" s="1"/>
  <c r="N38" i="47084"/>
  <c r="X34" i="47084"/>
  <c r="X12" i="47088" s="1"/>
  <c r="X38" i="47084"/>
  <c r="I18" i="2"/>
  <c r="I23" i="2" s="1"/>
  <c r="N34" i="47084"/>
  <c r="N7" i="47088" s="1"/>
  <c r="AE109" i="2"/>
  <c r="X11" i="47088"/>
  <c r="AE18" i="2"/>
  <c r="O109" i="2"/>
  <c r="G109" i="2"/>
  <c r="AF109" i="2"/>
  <c r="W109" i="2"/>
  <c r="AA109" i="2"/>
  <c r="P109" i="2"/>
  <c r="AA18" i="2"/>
  <c r="AA23" i="2" s="1"/>
  <c r="U109" i="2"/>
  <c r="S109" i="2"/>
  <c r="X6" i="47088"/>
  <c r="X9" i="47088" s="1"/>
  <c r="F109" i="2"/>
  <c r="AD6" i="47088"/>
  <c r="AD9" i="47088" s="1"/>
  <c r="AD34" i="47084"/>
  <c r="N11" i="47088"/>
  <c r="L6" i="47088"/>
  <c r="L9" i="47088" s="1"/>
  <c r="AA34" i="47084"/>
  <c r="AA7" i="47088" s="1"/>
  <c r="AA11" i="47088"/>
  <c r="P11" i="47088"/>
  <c r="L34" i="47084"/>
  <c r="E34" i="47084"/>
  <c r="Z6" i="47088"/>
  <c r="Z9" i="47088" s="1"/>
  <c r="AB6" i="47088"/>
  <c r="AB9" i="47088" s="1"/>
  <c r="I6" i="47088"/>
  <c r="I9" i="47088" s="1"/>
  <c r="L11" i="47088"/>
  <c r="S11" i="47088"/>
  <c r="V6" i="47088"/>
  <c r="V9" i="47088" s="1"/>
  <c r="H11" i="47088"/>
  <c r="F6" i="47088"/>
  <c r="F9" i="47088" s="1"/>
  <c r="J11" i="47088"/>
  <c r="AE34" i="47084"/>
  <c r="AE7" i="47088" s="1"/>
  <c r="AC11" i="47088"/>
  <c r="Y11" i="47088"/>
  <c r="R11" i="47088"/>
  <c r="J34" i="47084"/>
  <c r="J6" i="47088"/>
  <c r="J9" i="47088" s="1"/>
  <c r="O11" i="47088"/>
  <c r="C20" i="2"/>
  <c r="D20" i="2"/>
  <c r="U20" i="2"/>
  <c r="AD20" i="2"/>
  <c r="X20" i="2"/>
  <c r="P20" i="2"/>
  <c r="M20" i="2"/>
  <c r="E20" i="2"/>
  <c r="W20" i="2"/>
  <c r="O20" i="2"/>
  <c r="H20" i="2"/>
  <c r="AF20" i="2"/>
  <c r="AG20" i="2"/>
  <c r="T20" i="2"/>
  <c r="G20" i="2"/>
  <c r="Z20" i="2"/>
  <c r="R20" i="2"/>
  <c r="K20" i="2"/>
  <c r="Y20" i="2"/>
  <c r="AB20" i="2"/>
  <c r="F20" i="2"/>
  <c r="L20" i="2"/>
  <c r="Q20" i="2"/>
  <c r="AC20" i="2"/>
  <c r="J20" i="2"/>
  <c r="V20" i="2"/>
  <c r="S20" i="2"/>
  <c r="H6" i="47088"/>
  <c r="H9" i="47088" s="1"/>
  <c r="H34" i="47084"/>
  <c r="AG34" i="47084"/>
  <c r="AB11" i="47088"/>
  <c r="Y6" i="47088"/>
  <c r="Y9" i="47088" s="1"/>
  <c r="AB34" i="47084"/>
  <c r="Y34" i="47084"/>
  <c r="I11" i="47088"/>
  <c r="V34" i="47084"/>
  <c r="V11" i="47088"/>
  <c r="I34" i="47084"/>
  <c r="O34" i="47084"/>
  <c r="O6" i="47088"/>
  <c r="O9" i="47088" s="1"/>
  <c r="R6" i="47088"/>
  <c r="R9" i="47088" s="1"/>
  <c r="R34" i="47084"/>
  <c r="P34" i="47084"/>
  <c r="P6" i="47088"/>
  <c r="P9" i="47088" s="1"/>
  <c r="AC6" i="47088"/>
  <c r="AC9" i="47088" s="1"/>
  <c r="AC34" i="47084"/>
  <c r="S34" i="47084"/>
  <c r="S6" i="47088"/>
  <c r="S9" i="47088" s="1"/>
  <c r="Z34" i="47084"/>
  <c r="Z11" i="47088"/>
  <c r="F34" i="47084"/>
  <c r="F11" i="47088"/>
  <c r="AE6" i="47088"/>
  <c r="AE9" i="47088" s="1"/>
  <c r="AE11" i="47088"/>
  <c r="AF34" i="47084"/>
  <c r="AF12" i="47088" s="1"/>
  <c r="AF6" i="47088"/>
  <c r="AF9" i="47088" s="1"/>
  <c r="E11" i="47088"/>
  <c r="E6" i="47088"/>
  <c r="E9" i="47088" s="1"/>
  <c r="U6" i="47088"/>
  <c r="U9" i="47088" s="1"/>
  <c r="U11" i="47088"/>
  <c r="U34" i="47084"/>
  <c r="M11" i="47088"/>
  <c r="M6" i="47088"/>
  <c r="M9" i="47088" s="1"/>
  <c r="M34" i="47084"/>
  <c r="W6" i="47088"/>
  <c r="W9" i="47088" s="1"/>
  <c r="W34" i="47084"/>
  <c r="W11" i="47088"/>
  <c r="C11" i="47088"/>
  <c r="C34" i="47084"/>
  <c r="G6" i="47088"/>
  <c r="G9" i="47088" s="1"/>
  <c r="G34" i="47084"/>
  <c r="G11" i="47088"/>
  <c r="D11" i="47088"/>
  <c r="D34" i="47084"/>
  <c r="D6" i="47088"/>
  <c r="D9" i="47088" s="1"/>
  <c r="T11" i="47088"/>
  <c r="T6" i="47088"/>
  <c r="T9" i="47088" s="1"/>
  <c r="T34" i="47084"/>
  <c r="Q11" i="47088"/>
  <c r="Q34" i="47084"/>
  <c r="Q6" i="47088"/>
  <c r="Q9" i="47088" s="1"/>
  <c r="K34" i="47084"/>
  <c r="K11" i="47088"/>
  <c r="K6" i="47088"/>
  <c r="K9" i="47088" s="1"/>
  <c r="N20" i="2" l="1"/>
  <c r="X7" i="47088"/>
  <c r="I20" i="2"/>
  <c r="AG7" i="47088"/>
  <c r="AG12" i="47088"/>
  <c r="B38" i="47084"/>
  <c r="S63" i="47084" s="1"/>
  <c r="AE20" i="2"/>
  <c r="AE23" i="2"/>
  <c r="B23" i="2" s="1"/>
  <c r="B9" i="47088"/>
  <c r="N12" i="47088"/>
  <c r="AA12" i="47088"/>
  <c r="AA20" i="2"/>
  <c r="E12" i="47088"/>
  <c r="AD7" i="47088"/>
  <c r="E7" i="47088"/>
  <c r="AD12" i="47088"/>
  <c r="L12" i="47088"/>
  <c r="L7" i="47088"/>
  <c r="H7" i="47088"/>
  <c r="I7" i="47088"/>
  <c r="V7" i="47088"/>
  <c r="P7" i="47088"/>
  <c r="R7" i="47088"/>
  <c r="AB12" i="47088"/>
  <c r="J12" i="47088"/>
  <c r="J7" i="47088"/>
  <c r="AE12" i="47088"/>
  <c r="O7" i="47088"/>
  <c r="H12" i="47088"/>
  <c r="C6" i="47088"/>
  <c r="AB7" i="47088"/>
  <c r="O12" i="47088"/>
  <c r="Y7" i="47088"/>
  <c r="Y12" i="47088"/>
  <c r="V12" i="47088"/>
  <c r="I12" i="47088"/>
  <c r="R12" i="47088"/>
  <c r="P12" i="47088"/>
  <c r="Z7" i="47088"/>
  <c r="Z12" i="47088"/>
  <c r="S12" i="47088"/>
  <c r="AC7" i="47088"/>
  <c r="S7" i="47088"/>
  <c r="AC12" i="47088"/>
  <c r="F12" i="47088"/>
  <c r="F7" i="47088"/>
  <c r="AF7" i="47088"/>
  <c r="K7" i="47088"/>
  <c r="K12" i="47088"/>
  <c r="T12" i="47088"/>
  <c r="T7" i="47088"/>
  <c r="D7" i="47088"/>
  <c r="D12" i="47088"/>
  <c r="C12" i="47088"/>
  <c r="C7" i="47088"/>
  <c r="G12" i="47088"/>
  <c r="G7" i="47088"/>
  <c r="W7" i="47088"/>
  <c r="W12" i="47088"/>
  <c r="U7" i="47088"/>
  <c r="U12" i="47088"/>
  <c r="Q7" i="47088"/>
  <c r="Q12" i="47088"/>
  <c r="M12" i="47088"/>
  <c r="M7" i="47088"/>
  <c r="S66" i="47084" l="1"/>
  <c r="S65" i="47084"/>
  <c r="S64" i="47084"/>
  <c r="D37" i="47084"/>
  <c r="E37" i="47084" s="1"/>
  <c r="F37" i="47084" s="1"/>
  <c r="G37" i="47084" s="1"/>
  <c r="H37" i="47084" s="1"/>
  <c r="I37" i="47084" s="1"/>
  <c r="J37" i="47084" s="1"/>
  <c r="K37" i="47084" s="1"/>
  <c r="L37" i="47084" s="1"/>
  <c r="M37" i="47084" s="1"/>
  <c r="N37" i="47084" s="1"/>
  <c r="O37" i="47084" s="1"/>
  <c r="P37" i="47084" s="1"/>
  <c r="Q37" i="47084" s="1"/>
  <c r="R37" i="47084" s="1"/>
  <c r="S37" i="47084" s="1"/>
  <c r="T37" i="47084" s="1"/>
  <c r="U37" i="47084" s="1"/>
  <c r="V37" i="47084" s="1"/>
  <c r="W37" i="47084" s="1"/>
  <c r="X37" i="47084" s="1"/>
  <c r="Y37" i="47084" s="1"/>
  <c r="Z37" i="47084" s="1"/>
  <c r="AA37" i="47084" s="1"/>
  <c r="AB37" i="47084" s="1"/>
  <c r="AC37" i="47084" s="1"/>
  <c r="AD37" i="47084" s="1"/>
  <c r="AE37" i="47084" s="1"/>
  <c r="AF37" i="47084" s="1"/>
  <c r="AG37" i="47084" s="1"/>
  <c r="AH37" i="47084" s="1"/>
  <c r="AI37" i="47084" s="1"/>
  <c r="AJ37" i="47084" s="1"/>
  <c r="AK37" i="47084" s="1"/>
  <c r="AL37" i="47084" s="1"/>
  <c r="D22" i="2"/>
  <c r="E22" i="2" s="1"/>
  <c r="F22" i="2" s="1"/>
  <c r="G22" i="2" s="1"/>
  <c r="H22" i="2" s="1"/>
  <c r="I22" i="2" s="1"/>
  <c r="J22" i="2" s="1"/>
  <c r="K22" i="2" s="1"/>
  <c r="L22" i="2" s="1"/>
  <c r="M22" i="2" s="1"/>
  <c r="N22" i="2" s="1"/>
  <c r="O22" i="2" s="1"/>
  <c r="P22" i="2" s="1"/>
  <c r="Q22" i="2" s="1"/>
  <c r="R22" i="2" s="1"/>
  <c r="S22" i="2" s="1"/>
  <c r="T22" i="2" s="1"/>
  <c r="U22" i="2" s="1"/>
  <c r="V22" i="2" s="1"/>
  <c r="W22" i="2" s="1"/>
  <c r="X22" i="2" s="1"/>
  <c r="Y22" i="2" s="1"/>
  <c r="Z22" i="2" s="1"/>
  <c r="AA22" i="2" s="1"/>
  <c r="AB22" i="2" s="1"/>
  <c r="AC22" i="2" s="1"/>
  <c r="AD22" i="2" s="1"/>
  <c r="AE22" i="2" s="1"/>
  <c r="AF22" i="2" s="1"/>
  <c r="AG22" i="2" s="1"/>
  <c r="AH22" i="2" s="1"/>
  <c r="AI22" i="2" s="1"/>
  <c r="AJ22" i="2" s="1"/>
  <c r="AK22" i="2" s="1"/>
  <c r="AL22" i="2" s="1"/>
  <c r="R47" i="2"/>
  <c r="R46" i="2"/>
  <c r="D8" i="47088"/>
  <c r="E8" i="47088" s="1"/>
  <c r="F8" i="47088" s="1"/>
  <c r="G8" i="47088" s="1"/>
  <c r="H8" i="47088" s="1"/>
  <c r="I8" i="47088" s="1"/>
  <c r="J8" i="47088" s="1"/>
  <c r="K8" i="47088" s="1"/>
  <c r="L8" i="47088" s="1"/>
  <c r="M8" i="47088" s="1"/>
  <c r="N8" i="47088" s="1"/>
  <c r="O8" i="47088" s="1"/>
  <c r="P8" i="47088" s="1"/>
  <c r="Q8" i="47088" s="1"/>
  <c r="R8" i="47088" s="1"/>
  <c r="S8" i="47088" s="1"/>
  <c r="T8" i="47088" s="1"/>
  <c r="U8" i="47088" s="1"/>
  <c r="V8" i="47088" s="1"/>
  <c r="W8" i="47088" s="1"/>
  <c r="X8" i="47088" s="1"/>
  <c r="Y8" i="47088" s="1"/>
  <c r="Z8" i="47088" s="1"/>
  <c r="AA8" i="47088" s="1"/>
  <c r="AB8" i="47088" s="1"/>
  <c r="AC8" i="47088" s="1"/>
  <c r="AD8" i="47088" s="1"/>
  <c r="AE8" i="47088" s="1"/>
  <c r="AF8" i="47088" s="1"/>
  <c r="AG8" i="47088" s="1"/>
  <c r="AH8" i="47088" s="1"/>
  <c r="AI8" i="47088" s="1"/>
  <c r="AJ8" i="47088" s="1"/>
  <c r="AK8" i="47088" s="1"/>
  <c r="AL8" i="47088" s="1"/>
  <c r="V16" i="47088"/>
  <c r="V15" i="4708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Philip Groth</author>
    <author>Bobby Renz</author>
    <author>Jaramillo, Diana</author>
  </authors>
  <commentList>
    <comment ref="L3" authorId="0" shapeId="0" xr:uid="{00000000-0006-0000-0F00-000001000000}">
      <text>
        <r>
          <rPr>
            <b/>
            <sz val="8"/>
            <color indexed="81"/>
            <rFont val="Tahoma"/>
            <family val="2"/>
          </rPr>
          <t>Philip Groth:</t>
        </r>
        <r>
          <rPr>
            <sz val="8"/>
            <color indexed="81"/>
            <rFont val="Tahoma"/>
            <family val="2"/>
          </rPr>
          <t xml:space="preserve">
http://eire.census.gov/popest/data/states/tables/ST-EST2002-01.php</t>
        </r>
      </text>
    </comment>
    <comment ref="M3" authorId="0" shapeId="0" xr:uid="{00000000-0006-0000-0F00-000002000000}">
      <text>
        <r>
          <rPr>
            <b/>
            <sz val="8"/>
            <color indexed="81"/>
            <rFont val="Tahoma"/>
            <family val="2"/>
          </rPr>
          <t>Philip Groth:</t>
        </r>
        <r>
          <rPr>
            <sz val="8"/>
            <color indexed="81"/>
            <rFont val="Tahoma"/>
            <family val="2"/>
          </rPr>
          <t xml:space="preserve">
http://eire.census.gov/popest/data/states/tables/ST-EST2002-01.php</t>
        </r>
      </text>
    </comment>
    <comment ref="N3" authorId="0" shapeId="0" xr:uid="{00000000-0006-0000-0F00-000003000000}">
      <text>
        <r>
          <rPr>
            <b/>
            <sz val="8"/>
            <color indexed="81"/>
            <rFont val="Tahoma"/>
            <family val="2"/>
          </rPr>
          <t>Philip Groth:</t>
        </r>
        <r>
          <rPr>
            <sz val="8"/>
            <color indexed="81"/>
            <rFont val="Tahoma"/>
            <family val="2"/>
          </rPr>
          <t xml:space="preserve">
http://eire.census.gov/popest/data/states/tables/ST-EST2002-01.php</t>
        </r>
      </text>
    </comment>
    <comment ref="T3" authorId="1" shapeId="0" xr:uid="{00000000-0006-0000-0F00-000004000000}">
      <text>
        <r>
          <rPr>
            <b/>
            <sz val="8"/>
            <color indexed="81"/>
            <rFont val="Tahoma"/>
            <family val="2"/>
          </rPr>
          <t>Bobby Renz:</t>
        </r>
        <r>
          <rPr>
            <sz val="8"/>
            <color indexed="81"/>
            <rFont val="Tahoma"/>
            <family val="2"/>
          </rPr>
          <t xml:space="preserve">
www.census.gov, American Factfinder, 2000-2008 population, 2008 dataset</t>
        </r>
      </text>
    </comment>
    <comment ref="AF3" authorId="2" shapeId="0" xr:uid="{00000000-0006-0000-0F00-000005000000}">
      <text>
        <r>
          <rPr>
            <sz val="9"/>
            <color indexed="81"/>
            <rFont val="Tahoma"/>
            <family val="2"/>
          </rPr>
          <t xml:space="preserve">2020 from 2020 Census, July 1 Population estimate
</t>
        </r>
      </text>
    </comment>
  </commentList>
</comments>
</file>

<file path=xl/sharedStrings.xml><?xml version="1.0" encoding="utf-8"?>
<sst xmlns="http://schemas.openxmlformats.org/spreadsheetml/2006/main" count="743" uniqueCount="381">
  <si>
    <t>This tool will collect data from the individual sector modules and combine them, the final step in conducting a GHG inventory for your state.</t>
  </si>
  <si>
    <t>1. Choose a State:</t>
  </si>
  <si>
    <t>2. Locate Output File, Import, and Review Data for Each Module</t>
  </si>
  <si>
    <t>Summary File Created on:</t>
  </si>
  <si>
    <r>
      <t>CO</t>
    </r>
    <r>
      <rPr>
        <vertAlign val="subscript"/>
        <sz val="9"/>
        <rFont val="Comic Sans MS"/>
        <family val="4"/>
      </rPr>
      <t>2</t>
    </r>
    <r>
      <rPr>
        <sz val="9"/>
        <rFont val="Comic Sans MS"/>
        <family val="4"/>
      </rPr>
      <t xml:space="preserve"> from Fossil Fuel Combustion</t>
    </r>
  </si>
  <si>
    <r>
      <t>CO</t>
    </r>
    <r>
      <rPr>
        <vertAlign val="subscript"/>
        <sz val="9"/>
        <rFont val="Comic Sans MS"/>
        <family val="4"/>
      </rPr>
      <t>2</t>
    </r>
    <r>
      <rPr>
        <sz val="9"/>
        <rFont val="Comic Sans MS"/>
        <family val="4"/>
      </rPr>
      <t xml:space="preserve"> from Electricity Consumption</t>
    </r>
  </si>
  <si>
    <t>Stationary Combustion</t>
  </si>
  <si>
    <t>Mobile Combustion</t>
  </si>
  <si>
    <t>Coal Mining</t>
  </si>
  <si>
    <t>Natural Gas and Oil Systems</t>
  </si>
  <si>
    <t>Industrial Processes</t>
  </si>
  <si>
    <t>Agriculture</t>
  </si>
  <si>
    <t>Land Use, Land-Use Change, and Forestry</t>
  </si>
  <si>
    <t>Municipal Solid Waste</t>
  </si>
  <si>
    <t>Wastewater</t>
  </si>
  <si>
    <t>3. View the Summary Sheets:</t>
  </si>
  <si>
    <t>Global Warming Potential Factors</t>
  </si>
  <si>
    <r>
      <t>CH</t>
    </r>
    <r>
      <rPr>
        <vertAlign val="subscript"/>
        <sz val="8"/>
        <rFont val="Arial"/>
        <family val="2"/>
      </rPr>
      <t>4</t>
    </r>
    <r>
      <rPr>
        <sz val="8"/>
        <rFont val="Arial"/>
        <family val="2"/>
      </rPr>
      <t xml:space="preserve"> GWP</t>
    </r>
  </si>
  <si>
    <r>
      <t>N</t>
    </r>
    <r>
      <rPr>
        <vertAlign val="subscript"/>
        <sz val="8"/>
        <rFont val="Arial"/>
        <family val="2"/>
      </rPr>
      <t>2</t>
    </r>
    <r>
      <rPr>
        <sz val="8"/>
        <rFont val="Arial"/>
        <family val="2"/>
      </rPr>
      <t>O GWP</t>
    </r>
  </si>
  <si>
    <r>
      <t>Emissions (MMTCO</t>
    </r>
    <r>
      <rPr>
        <b/>
        <vertAlign val="subscript"/>
        <sz val="8"/>
        <rFont val="Comic Sans MS"/>
        <family val="4"/>
      </rPr>
      <t xml:space="preserve">2 </t>
    </r>
    <r>
      <rPr>
        <b/>
        <sz val="8"/>
        <rFont val="Comic Sans MS"/>
        <family val="4"/>
      </rPr>
      <t>Eq.)</t>
    </r>
  </si>
  <si>
    <t>Residential</t>
  </si>
  <si>
    <t>Coal</t>
  </si>
  <si>
    <t>Petroleum</t>
  </si>
  <si>
    <t>Natural Gas</t>
  </si>
  <si>
    <t>Other</t>
  </si>
  <si>
    <t>Commercial</t>
  </si>
  <si>
    <t>Industrial</t>
  </si>
  <si>
    <t>Transportation</t>
  </si>
  <si>
    <t>Electric Utilities</t>
  </si>
  <si>
    <t>International Bunker Fuels</t>
  </si>
  <si>
    <t>TOTAL</t>
  </si>
  <si>
    <r>
      <t>Additional CO</t>
    </r>
    <r>
      <rPr>
        <vertAlign val="subscript"/>
        <sz val="8"/>
        <rFont val="Comic Sans MS"/>
        <family val="4"/>
      </rPr>
      <t>2</t>
    </r>
    <r>
      <rPr>
        <sz val="8"/>
        <rFont val="Comic Sans MS"/>
        <family val="4"/>
      </rPr>
      <t xml:space="preserve"> Emissions</t>
    </r>
  </si>
  <si>
    <t>Space Heating</t>
  </si>
  <si>
    <t>Air-conditioning</t>
  </si>
  <si>
    <t>Water Heating</t>
  </si>
  <si>
    <t>Refrigeration</t>
  </si>
  <si>
    <t>Other Appliances and Lighting</t>
  </si>
  <si>
    <t>Cooling</t>
  </si>
  <si>
    <t>Ventilation</t>
  </si>
  <si>
    <t>Lighting</t>
  </si>
  <si>
    <t>Cooking</t>
  </si>
  <si>
    <t>Office Equipment</t>
  </si>
  <si>
    <t>Computers</t>
  </si>
  <si>
    <t>Indirect Uses-Boiler Fuel</t>
  </si>
  <si>
    <t xml:space="preserve">  Conventional Boiler Use</t>
  </si>
  <si>
    <t xml:space="preserve">  CHP and/or Cogeneration Process</t>
  </si>
  <si>
    <t>Direct Uses-Total Process</t>
  </si>
  <si>
    <t xml:space="preserve">  Process Heating</t>
  </si>
  <si>
    <t xml:space="preserve">  Process Cooling and Refrigeration</t>
  </si>
  <si>
    <t xml:space="preserve">  Machine Drive</t>
  </si>
  <si>
    <t xml:space="preserve">  Electro-Chemical Processes</t>
  </si>
  <si>
    <t xml:space="preserve">  Other Process Use</t>
  </si>
  <si>
    <t>Direct Uses-Total Nonprocess</t>
  </si>
  <si>
    <t xml:space="preserve">  Facility HVAC</t>
  </si>
  <si>
    <t xml:space="preserve">  Facility Lighting</t>
  </si>
  <si>
    <t xml:space="preserve">  Other Facility Support</t>
  </si>
  <si>
    <t xml:space="preserve">  Onsite Transportation</t>
  </si>
  <si>
    <t xml:space="preserve">  Other Nonprocess Use</t>
  </si>
  <si>
    <t>Automated Guideway</t>
  </si>
  <si>
    <t>Bus (charged batteries)</t>
  </si>
  <si>
    <t>Cable Car</t>
  </si>
  <si>
    <t>Commuter Rail</t>
  </si>
  <si>
    <t>Heavy Rail</t>
  </si>
  <si>
    <t>Inclined Plane</t>
  </si>
  <si>
    <t>Light Rail</t>
  </si>
  <si>
    <t>Trolleybus</t>
  </si>
  <si>
    <r>
      <t>N</t>
    </r>
    <r>
      <rPr>
        <vertAlign val="subscript"/>
        <sz val="8"/>
        <rFont val="Comic Sans MS"/>
        <family val="4"/>
      </rPr>
      <t>2</t>
    </r>
    <r>
      <rPr>
        <sz val="8"/>
        <rFont val="Comic Sans MS"/>
        <family val="4"/>
      </rPr>
      <t>O</t>
    </r>
  </si>
  <si>
    <r>
      <t>CH</t>
    </r>
    <r>
      <rPr>
        <vertAlign val="subscript"/>
        <sz val="8"/>
        <rFont val="Comic Sans MS"/>
        <family val="4"/>
      </rPr>
      <t>4</t>
    </r>
  </si>
  <si>
    <r>
      <t>Additional N</t>
    </r>
    <r>
      <rPr>
        <vertAlign val="subscript"/>
        <sz val="8"/>
        <rFont val="Comic Sans MS"/>
        <family val="4"/>
      </rPr>
      <t>2</t>
    </r>
    <r>
      <rPr>
        <sz val="8"/>
        <rFont val="Comic Sans MS"/>
        <family val="4"/>
      </rPr>
      <t>O Emissions</t>
    </r>
  </si>
  <si>
    <r>
      <t>Additional CH</t>
    </r>
    <r>
      <rPr>
        <vertAlign val="subscript"/>
        <sz val="8"/>
        <rFont val="Comic Sans MS"/>
        <family val="4"/>
      </rPr>
      <t>4</t>
    </r>
    <r>
      <rPr>
        <sz val="8"/>
        <rFont val="Comic Sans MS"/>
        <family val="4"/>
      </rPr>
      <t xml:space="preserve"> Emissions</t>
    </r>
  </si>
  <si>
    <r>
      <t>Total CH</t>
    </r>
    <r>
      <rPr>
        <b/>
        <vertAlign val="subscript"/>
        <sz val="10"/>
        <rFont val="Comic Sans MS"/>
        <family val="4"/>
      </rPr>
      <t>4</t>
    </r>
    <r>
      <rPr>
        <b/>
        <sz val="10"/>
        <rFont val="Comic Sans MS"/>
        <family val="4"/>
      </rPr>
      <t xml:space="preserve"> and N</t>
    </r>
    <r>
      <rPr>
        <b/>
        <vertAlign val="subscript"/>
        <sz val="10"/>
        <rFont val="Comic Sans MS"/>
        <family val="4"/>
      </rPr>
      <t>2</t>
    </r>
    <r>
      <rPr>
        <b/>
        <sz val="10"/>
        <rFont val="Comic Sans MS"/>
        <family val="4"/>
      </rPr>
      <t>O Emissions from Mobile Sources (MTCO</t>
    </r>
    <r>
      <rPr>
        <b/>
        <vertAlign val="subscript"/>
        <sz val="10"/>
        <rFont val="Comic Sans MS"/>
        <family val="4"/>
      </rPr>
      <t>2</t>
    </r>
    <r>
      <rPr>
        <b/>
        <sz val="10"/>
        <rFont val="Comic Sans MS"/>
        <family val="4"/>
      </rPr>
      <t>E)</t>
    </r>
  </si>
  <si>
    <t>Fuel Type/Vehicle Type</t>
  </si>
  <si>
    <t>Gasoline Highway</t>
  </si>
  <si>
    <t>Passenger Cars</t>
  </si>
  <si>
    <t>Light-Duty Trucks</t>
  </si>
  <si>
    <t>Heavy-Duty Vehicles</t>
  </si>
  <si>
    <t>Motorcycles</t>
  </si>
  <si>
    <t>Diesel Highway</t>
  </si>
  <si>
    <t>Non-Highway</t>
  </si>
  <si>
    <t>Boats</t>
  </si>
  <si>
    <t>Locomotives</t>
  </si>
  <si>
    <t>Farm Equipment</t>
  </si>
  <si>
    <t>Construction Equipment</t>
  </si>
  <si>
    <t>Aircraft</t>
  </si>
  <si>
    <t>Other*</t>
  </si>
  <si>
    <t>Alternative Fuel Vehicles</t>
  </si>
  <si>
    <t>Light Duty Vehicles</t>
  </si>
  <si>
    <t>Heavy Duty Vehicles</t>
  </si>
  <si>
    <t>Buses</t>
  </si>
  <si>
    <t>Additional Emissions Source(s)</t>
  </si>
  <si>
    <t>Total</t>
  </si>
  <si>
    <t>* "Other" includes snowmobiles, small gasoline powered utility equipment, heavy-duty gasoline powered utility equipment, and heavy-duty diesel powered utility equipment.</t>
  </si>
  <si>
    <r>
      <t>Total CH</t>
    </r>
    <r>
      <rPr>
        <b/>
        <vertAlign val="subscript"/>
        <sz val="10"/>
        <rFont val="Comic Sans MS"/>
        <family val="4"/>
      </rPr>
      <t>4</t>
    </r>
    <r>
      <rPr>
        <b/>
        <sz val="10"/>
        <rFont val="Comic Sans MS"/>
        <family val="4"/>
      </rPr>
      <t xml:space="preserve"> and N</t>
    </r>
    <r>
      <rPr>
        <b/>
        <vertAlign val="subscript"/>
        <sz val="10"/>
        <rFont val="Comic Sans MS"/>
        <family val="4"/>
      </rPr>
      <t>2</t>
    </r>
    <r>
      <rPr>
        <b/>
        <sz val="10"/>
        <rFont val="Comic Sans MS"/>
        <family val="4"/>
      </rPr>
      <t>O Emissions from Mobile Sources (MTCE)</t>
    </r>
  </si>
  <si>
    <r>
      <t>CH</t>
    </r>
    <r>
      <rPr>
        <b/>
        <vertAlign val="subscript"/>
        <sz val="10"/>
        <rFont val="Comic Sans MS"/>
        <family val="4"/>
      </rPr>
      <t>4</t>
    </r>
    <r>
      <rPr>
        <b/>
        <sz val="10"/>
        <rFont val="Comic Sans MS"/>
        <family val="4"/>
      </rPr>
      <t xml:space="preserve"> Emissions from Mobile Sources (MTCO</t>
    </r>
    <r>
      <rPr>
        <b/>
        <vertAlign val="subscript"/>
        <sz val="10"/>
        <rFont val="Comic Sans MS"/>
        <family val="4"/>
      </rPr>
      <t>2</t>
    </r>
    <r>
      <rPr>
        <b/>
        <sz val="10"/>
        <rFont val="Comic Sans MS"/>
        <family val="4"/>
      </rPr>
      <t>E)</t>
    </r>
  </si>
  <si>
    <r>
      <t>N</t>
    </r>
    <r>
      <rPr>
        <b/>
        <vertAlign val="subscript"/>
        <sz val="10"/>
        <rFont val="Comic Sans MS"/>
        <family val="4"/>
      </rPr>
      <t>2</t>
    </r>
    <r>
      <rPr>
        <b/>
        <sz val="10"/>
        <rFont val="Comic Sans MS"/>
        <family val="4"/>
      </rPr>
      <t>O Emissions from Mobile Sources (MTCO</t>
    </r>
    <r>
      <rPr>
        <b/>
        <vertAlign val="subscript"/>
        <sz val="10"/>
        <rFont val="Comic Sans MS"/>
        <family val="4"/>
      </rPr>
      <t>2</t>
    </r>
    <r>
      <rPr>
        <b/>
        <sz val="10"/>
        <rFont val="Comic Sans MS"/>
        <family val="4"/>
      </rPr>
      <t>E)</t>
    </r>
  </si>
  <si>
    <r>
      <t>Emissions (MTCO</t>
    </r>
    <r>
      <rPr>
        <b/>
        <vertAlign val="subscript"/>
        <sz val="8"/>
        <rFont val="Comic Sans MS"/>
        <family val="4"/>
      </rPr>
      <t>2</t>
    </r>
    <r>
      <rPr>
        <b/>
        <sz val="8"/>
        <rFont val="Comic Sans MS"/>
        <family val="4"/>
      </rPr>
      <t>E)</t>
    </r>
  </si>
  <si>
    <t>1991*</t>
  </si>
  <si>
    <t>1992*</t>
  </si>
  <si>
    <t>Abandoned Coal Mines</t>
  </si>
  <si>
    <t>Vented</t>
  </si>
  <si>
    <t>Sealed</t>
  </si>
  <si>
    <t>Flooded</t>
  </si>
  <si>
    <t>Additional Emissions Source</t>
  </si>
  <si>
    <t>Emissions (MTCE)</t>
  </si>
  <si>
    <r>
      <t>Emissions by Gas (MTCH</t>
    </r>
    <r>
      <rPr>
        <b/>
        <vertAlign val="subscript"/>
        <sz val="8"/>
        <rFont val="Comic Sans MS"/>
        <family val="4"/>
      </rPr>
      <t>4</t>
    </r>
    <r>
      <rPr>
        <b/>
        <sz val="8"/>
        <rFont val="Comic Sans MS"/>
        <family val="4"/>
      </rPr>
      <t>)</t>
    </r>
  </si>
  <si>
    <t>Oil</t>
  </si>
  <si>
    <t>Emissions (MMTCE)</t>
  </si>
  <si>
    <t>Production</t>
  </si>
  <si>
    <t>Transmission</t>
  </si>
  <si>
    <t>Distribution</t>
  </si>
  <si>
    <r>
      <t>Emissions by Gas (MMTCO</t>
    </r>
    <r>
      <rPr>
        <b/>
        <vertAlign val="subscript"/>
        <sz val="8"/>
        <rFont val="Comic Sans MS"/>
        <family val="4"/>
      </rPr>
      <t>2</t>
    </r>
    <r>
      <rPr>
        <b/>
        <sz val="8"/>
        <rFont val="Comic Sans MS"/>
        <family val="4"/>
      </rPr>
      <t>)</t>
    </r>
  </si>
  <si>
    <t>Natural Gas Flaring</t>
  </si>
  <si>
    <r>
      <t>Emissions (MTCO</t>
    </r>
    <r>
      <rPr>
        <b/>
        <vertAlign val="subscript"/>
        <sz val="8"/>
        <rFont val="Comic Sans MS"/>
        <family val="4"/>
      </rPr>
      <t xml:space="preserve">2 </t>
    </r>
    <r>
      <rPr>
        <b/>
        <sz val="8"/>
        <rFont val="Comic Sans MS"/>
        <family val="4"/>
      </rPr>
      <t>Eq.)</t>
    </r>
  </si>
  <si>
    <t>Carbon Dioxide Emissions</t>
  </si>
  <si>
    <t>Cement Manufacture</t>
  </si>
  <si>
    <t>Lime Manufacture</t>
  </si>
  <si>
    <t>Limestone and Dolomite Use</t>
  </si>
  <si>
    <t>Soda Ash</t>
  </si>
  <si>
    <r>
      <t>Aluminum Production, CO</t>
    </r>
    <r>
      <rPr>
        <vertAlign val="subscript"/>
        <sz val="8"/>
        <rFont val="Comic Sans MS"/>
        <family val="4"/>
      </rPr>
      <t>2</t>
    </r>
  </si>
  <si>
    <t>Iron &amp; Steel Production</t>
  </si>
  <si>
    <t>Ammonia Production</t>
  </si>
  <si>
    <t>Urea Consumption</t>
  </si>
  <si>
    <t>Nitrous Oxide Emissions</t>
  </si>
  <si>
    <t>Nitric Acid Production</t>
  </si>
  <si>
    <t>Adipic Acid Production</t>
  </si>
  <si>
    <r>
      <t>HFC, PFC, SF</t>
    </r>
    <r>
      <rPr>
        <vertAlign val="subscript"/>
        <sz val="8"/>
        <rFont val="Comic Sans MS"/>
        <family val="4"/>
      </rPr>
      <t>6</t>
    </r>
    <r>
      <rPr>
        <sz val="8"/>
        <rFont val="Comic Sans MS"/>
        <family val="4"/>
      </rPr>
      <t xml:space="preserve"> and NF</t>
    </r>
    <r>
      <rPr>
        <vertAlign val="subscript"/>
        <sz val="8"/>
        <rFont val="Comic Sans MS"/>
        <family val="4"/>
      </rPr>
      <t>3</t>
    </r>
    <r>
      <rPr>
        <sz val="8"/>
        <rFont val="Comic Sans MS"/>
        <family val="4"/>
      </rPr>
      <t xml:space="preserve"> Emissions</t>
    </r>
  </si>
  <si>
    <t>ODS Substitutes</t>
  </si>
  <si>
    <t>Semiconductor Manufacturing</t>
  </si>
  <si>
    <t>Magnesium Production</t>
  </si>
  <si>
    <t>Electric Power Transmission and Distribution Systems</t>
  </si>
  <si>
    <t>HCFC-22 Production</t>
  </si>
  <si>
    <t>Aluminum Production, PFCs</t>
  </si>
  <si>
    <t>Additional Carbon Dioxide Emissions</t>
  </si>
  <si>
    <t>Additional Nitrous Oxide Emissions</t>
  </si>
  <si>
    <r>
      <t>Additional HFC, PFC, SF</t>
    </r>
    <r>
      <rPr>
        <vertAlign val="subscript"/>
        <sz val="8"/>
        <rFont val="Comic Sans MS"/>
        <family val="4"/>
      </rPr>
      <t>6</t>
    </r>
    <r>
      <rPr>
        <sz val="8"/>
        <rFont val="Comic Sans MS"/>
        <family val="4"/>
      </rPr>
      <t xml:space="preserve"> and NF</t>
    </r>
    <r>
      <rPr>
        <vertAlign val="subscript"/>
        <sz val="8"/>
        <rFont val="Comic Sans MS"/>
        <family val="4"/>
      </rPr>
      <t>3</t>
    </r>
    <r>
      <rPr>
        <sz val="8"/>
        <rFont val="Comic Sans MS"/>
        <family val="4"/>
      </rPr>
      <t xml:space="preserve"> Emissions</t>
    </r>
  </si>
  <si>
    <t>Total Emissions</t>
  </si>
  <si>
    <t>Enteric Fermentation</t>
  </si>
  <si>
    <t>Manure Management</t>
  </si>
  <si>
    <t>Agricultural Soil Management</t>
  </si>
  <si>
    <t>Rice Cultivation</t>
  </si>
  <si>
    <t>Liming</t>
  </si>
  <si>
    <t>Urea Fertilization</t>
  </si>
  <si>
    <t xml:space="preserve">Burning of Agricultural Crop Waste </t>
  </si>
  <si>
    <t>Additional Methane Emissions</t>
  </si>
  <si>
    <r>
      <t>Emissions by Gas (MMTCH</t>
    </r>
    <r>
      <rPr>
        <b/>
        <vertAlign val="subscript"/>
        <sz val="8"/>
        <rFont val="Comic Sans MS"/>
        <family val="4"/>
      </rPr>
      <t xml:space="preserve">4 </t>
    </r>
    <r>
      <rPr>
        <b/>
        <sz val="8"/>
        <rFont val="Comic Sans MS"/>
        <family val="4"/>
      </rPr>
      <t>or MMTN</t>
    </r>
    <r>
      <rPr>
        <b/>
        <vertAlign val="subscript"/>
        <sz val="8"/>
        <rFont val="Comic Sans MS"/>
        <family val="4"/>
      </rPr>
      <t>2</t>
    </r>
    <r>
      <rPr>
        <b/>
        <sz val="8"/>
        <rFont val="Comic Sans MS"/>
        <family val="4"/>
      </rPr>
      <t>O)</t>
    </r>
  </si>
  <si>
    <t>Carbon Dioxide</t>
  </si>
  <si>
    <t xml:space="preserve">Liming </t>
  </si>
  <si>
    <t>Methane</t>
  </si>
  <si>
    <t>Nitrous Oxide</t>
  </si>
  <si>
    <r>
      <t>Nitrous Oxide Emissions from Agricultural Soil Management (Metric Tons N</t>
    </r>
    <r>
      <rPr>
        <b/>
        <vertAlign val="subscript"/>
        <sz val="8"/>
        <rFont val="Comic Sans MS"/>
        <family val="4"/>
      </rPr>
      <t>2</t>
    </r>
    <r>
      <rPr>
        <b/>
        <sz val="8"/>
        <rFont val="Comic Sans MS"/>
        <family val="4"/>
      </rPr>
      <t>O)</t>
    </r>
  </si>
  <si>
    <t>Direct</t>
  </si>
  <si>
    <t>Fertilizers</t>
  </si>
  <si>
    <t>Crop Residues</t>
  </si>
  <si>
    <t>N-Fixing Crops</t>
  </si>
  <si>
    <t>Histosols</t>
  </si>
  <si>
    <t>Livestock</t>
  </si>
  <si>
    <t>Indirect</t>
  </si>
  <si>
    <t>Leaching/Runoff</t>
  </si>
  <si>
    <t>Fertilizer Runoff/Leached</t>
  </si>
  <si>
    <t xml:space="preserve">Manure Runoff/Leached </t>
  </si>
  <si>
    <t>default</t>
  </si>
  <si>
    <r>
      <t>Emissions (MMTCO</t>
    </r>
    <r>
      <rPr>
        <b/>
        <vertAlign val="subscript"/>
        <sz val="9"/>
        <rFont val="Comic Sans MS"/>
        <family val="4"/>
      </rPr>
      <t>2</t>
    </r>
    <r>
      <rPr>
        <b/>
        <sz val="9"/>
        <rFont val="Comic Sans MS"/>
        <family val="4"/>
      </rPr>
      <t>E)</t>
    </r>
  </si>
  <si>
    <t>Forest Carbon Flux</t>
  </si>
  <si>
    <t>Aboveground Biomass</t>
  </si>
  <si>
    <t>Belowground Biomass</t>
  </si>
  <si>
    <t>Dead Wood</t>
  </si>
  <si>
    <t>Litter</t>
  </si>
  <si>
    <t>Soil (Mineral)</t>
  </si>
  <si>
    <t>Soil (Organic)</t>
  </si>
  <si>
    <t>Drained Organic Soil</t>
  </si>
  <si>
    <t>Total Wood products and landfills</t>
  </si>
  <si>
    <t>Forest Land Remaining Forest Land</t>
  </si>
  <si>
    <t>Deadwood</t>
  </si>
  <si>
    <t>Total wood products and landfills</t>
  </si>
  <si>
    <t>Land Converted to Forest Land</t>
  </si>
  <si>
    <t>Forest Land Converted to Land</t>
  </si>
  <si>
    <t>Urban Trees</t>
  </si>
  <si>
    <t>Landfilled Yard Trimmings and Food Scraps</t>
  </si>
  <si>
    <t>Grass</t>
  </si>
  <si>
    <t>Leaves</t>
  </si>
  <si>
    <t>Branches</t>
  </si>
  <si>
    <t>Landfilled Food Scraps</t>
  </si>
  <si>
    <t>Forest Fires</t>
  </si>
  <si>
    <r>
      <t>CH</t>
    </r>
    <r>
      <rPr>
        <i/>
        <vertAlign val="subscript"/>
        <sz val="8"/>
        <rFont val="Comic Sans MS"/>
        <family val="4"/>
      </rPr>
      <t>4</t>
    </r>
  </si>
  <si>
    <r>
      <t>N</t>
    </r>
    <r>
      <rPr>
        <i/>
        <vertAlign val="subscript"/>
        <sz val="8"/>
        <rFont val="Comic Sans MS"/>
        <family val="4"/>
      </rPr>
      <t>2</t>
    </r>
    <r>
      <rPr>
        <i/>
        <sz val="8"/>
        <rFont val="Comic Sans MS"/>
        <family val="4"/>
      </rPr>
      <t>O</t>
    </r>
  </si>
  <si>
    <r>
      <t>N</t>
    </r>
    <r>
      <rPr>
        <vertAlign val="subscript"/>
        <sz val="8"/>
        <rFont val="Comic Sans MS"/>
        <family val="4"/>
      </rPr>
      <t>2</t>
    </r>
    <r>
      <rPr>
        <sz val="8"/>
        <rFont val="Comic Sans MS"/>
        <family val="4"/>
      </rPr>
      <t>O from Settlement Soils</t>
    </r>
  </si>
  <si>
    <t>Agricultural Soil Carbon Flux</t>
  </si>
  <si>
    <r>
      <t>Total Emissions from Landfills and Waste Combustion (MMTCO</t>
    </r>
    <r>
      <rPr>
        <b/>
        <vertAlign val="subscript"/>
        <sz val="10"/>
        <color indexed="18"/>
        <rFont val="Comic Sans MS"/>
        <family val="4"/>
      </rPr>
      <t>2</t>
    </r>
    <r>
      <rPr>
        <b/>
        <sz val="10"/>
        <color indexed="18"/>
        <rFont val="Comic Sans MS"/>
        <family val="4"/>
      </rPr>
      <t>E)</t>
    </r>
  </si>
  <si>
    <r>
      <t>CH</t>
    </r>
    <r>
      <rPr>
        <b/>
        <vertAlign val="subscript"/>
        <sz val="8"/>
        <rFont val="Comic Sans MS"/>
        <family val="4"/>
      </rPr>
      <t>4</t>
    </r>
  </si>
  <si>
    <r>
      <t>CO</t>
    </r>
    <r>
      <rPr>
        <b/>
        <vertAlign val="subscript"/>
        <sz val="8"/>
        <rFont val="Comic Sans MS"/>
        <family val="4"/>
      </rPr>
      <t>2</t>
    </r>
  </si>
  <si>
    <r>
      <t>N</t>
    </r>
    <r>
      <rPr>
        <b/>
        <vertAlign val="subscript"/>
        <sz val="8"/>
        <rFont val="Comic Sans MS"/>
        <family val="4"/>
      </rPr>
      <t>2</t>
    </r>
    <r>
      <rPr>
        <b/>
        <sz val="8"/>
        <rFont val="Comic Sans MS"/>
        <family val="4"/>
      </rPr>
      <t>O</t>
    </r>
  </si>
  <si>
    <t xml:space="preserve">Total  </t>
  </si>
  <si>
    <r>
      <t>CH</t>
    </r>
    <r>
      <rPr>
        <b/>
        <vertAlign val="subscript"/>
        <sz val="10"/>
        <color indexed="18"/>
        <rFont val="Comic Sans MS"/>
        <family val="4"/>
      </rPr>
      <t>4</t>
    </r>
    <r>
      <rPr>
        <b/>
        <sz val="10"/>
        <color indexed="18"/>
        <rFont val="Comic Sans MS"/>
        <family val="4"/>
      </rPr>
      <t xml:space="preserve"> Emissions from Landfills (MTCO</t>
    </r>
    <r>
      <rPr>
        <b/>
        <vertAlign val="subscript"/>
        <sz val="10"/>
        <color indexed="18"/>
        <rFont val="Comic Sans MS"/>
        <family val="4"/>
      </rPr>
      <t>2</t>
    </r>
    <r>
      <rPr>
        <b/>
        <sz val="10"/>
        <color indexed="18"/>
        <rFont val="Comic Sans MS"/>
        <family val="4"/>
      </rPr>
      <t>E)</t>
    </r>
  </si>
  <si>
    <r>
      <t>Potential CH</t>
    </r>
    <r>
      <rPr>
        <b/>
        <vertAlign val="subscript"/>
        <sz val="8"/>
        <rFont val="Comic Sans MS"/>
        <family val="4"/>
      </rPr>
      <t>4</t>
    </r>
  </si>
  <si>
    <t>MSW Generation</t>
  </si>
  <si>
    <t>Industrial Generation</t>
  </si>
  <si>
    <r>
      <t>CH</t>
    </r>
    <r>
      <rPr>
        <b/>
        <vertAlign val="subscript"/>
        <sz val="8"/>
        <rFont val="Comic Sans MS"/>
        <family val="4"/>
      </rPr>
      <t>4</t>
    </r>
    <r>
      <rPr>
        <b/>
        <sz val="8"/>
        <rFont val="Comic Sans MS"/>
        <family val="4"/>
      </rPr>
      <t xml:space="preserve"> Avoided</t>
    </r>
  </si>
  <si>
    <t>Flare</t>
  </si>
  <si>
    <t>Landfill Gas-to-Energy</t>
  </si>
  <si>
    <t>Oxidation at MSW Landfills</t>
  </si>
  <si>
    <t>Oxidation at Industrial Landfills</t>
  </si>
  <si>
    <r>
      <t>Total CH</t>
    </r>
    <r>
      <rPr>
        <b/>
        <vertAlign val="subscript"/>
        <sz val="8"/>
        <rFont val="Comic Sans MS"/>
        <family val="4"/>
      </rPr>
      <t xml:space="preserve">4 </t>
    </r>
    <r>
      <rPr>
        <b/>
        <sz val="8"/>
        <rFont val="Comic Sans MS"/>
        <family val="4"/>
      </rPr>
      <t xml:space="preserve">Emissions </t>
    </r>
  </si>
  <si>
    <r>
      <t>CO</t>
    </r>
    <r>
      <rPr>
        <b/>
        <vertAlign val="subscript"/>
        <sz val="10"/>
        <color indexed="18"/>
        <rFont val="Comic Sans MS"/>
        <family val="4"/>
      </rPr>
      <t>2</t>
    </r>
    <r>
      <rPr>
        <b/>
        <sz val="10"/>
        <color indexed="18"/>
        <rFont val="Comic Sans MS"/>
        <family val="4"/>
      </rPr>
      <t xml:space="preserve"> and N</t>
    </r>
    <r>
      <rPr>
        <b/>
        <vertAlign val="subscript"/>
        <sz val="10"/>
        <color indexed="18"/>
        <rFont val="Comic Sans MS"/>
        <family val="4"/>
      </rPr>
      <t>2</t>
    </r>
    <r>
      <rPr>
        <b/>
        <sz val="10"/>
        <color indexed="18"/>
        <rFont val="Comic Sans MS"/>
        <family val="4"/>
      </rPr>
      <t>O Emissions from Waste Combustion (MTCO</t>
    </r>
    <r>
      <rPr>
        <b/>
        <vertAlign val="subscript"/>
        <sz val="10"/>
        <color indexed="18"/>
        <rFont val="Comic Sans MS"/>
        <family val="4"/>
      </rPr>
      <t>2</t>
    </r>
    <r>
      <rPr>
        <b/>
        <sz val="10"/>
        <color indexed="18"/>
        <rFont val="Comic Sans MS"/>
        <family val="4"/>
      </rPr>
      <t>E)</t>
    </r>
  </si>
  <si>
    <t xml:space="preserve">Gas/Waste Product </t>
  </si>
  <si>
    <t>Plastics</t>
  </si>
  <si>
    <t>Synthetic Rubber in MSW</t>
  </si>
  <si>
    <t xml:space="preserve">Synthetic Fibers </t>
  </si>
  <si>
    <r>
      <t>Total CO</t>
    </r>
    <r>
      <rPr>
        <b/>
        <vertAlign val="subscript"/>
        <sz val="8"/>
        <rFont val="Comic Sans MS"/>
        <family val="4"/>
      </rPr>
      <t>2,</t>
    </r>
    <r>
      <rPr>
        <b/>
        <sz val="8"/>
        <rFont val="Comic Sans MS"/>
        <family val="4"/>
      </rPr>
      <t xml:space="preserve"> N</t>
    </r>
    <r>
      <rPr>
        <b/>
        <vertAlign val="subscript"/>
        <sz val="8"/>
        <rFont val="Comic Sans MS"/>
        <family val="4"/>
      </rPr>
      <t>2</t>
    </r>
    <r>
      <rPr>
        <b/>
        <sz val="8"/>
        <rFont val="Comic Sans MS"/>
        <family val="4"/>
      </rPr>
      <t>O, CH</t>
    </r>
    <r>
      <rPr>
        <b/>
        <vertAlign val="subscript"/>
        <sz val="8"/>
        <rFont val="Comic Sans MS"/>
        <family val="4"/>
      </rPr>
      <t>4</t>
    </r>
    <r>
      <rPr>
        <b/>
        <sz val="8"/>
        <rFont val="Comic Sans MS"/>
        <family val="4"/>
      </rPr>
      <t xml:space="preserve"> Emissions</t>
    </r>
  </si>
  <si>
    <r>
      <t>Emissions (MMTCO</t>
    </r>
    <r>
      <rPr>
        <b/>
        <vertAlign val="subscript"/>
        <sz val="8"/>
        <rFont val="Comic Sans MS"/>
        <family val="4"/>
      </rPr>
      <t>2</t>
    </r>
    <r>
      <rPr>
        <b/>
        <sz val="8"/>
        <rFont val="Comic Sans MS"/>
        <family val="4"/>
      </rPr>
      <t>E)</t>
    </r>
  </si>
  <si>
    <r>
      <t>Municipal CH</t>
    </r>
    <r>
      <rPr>
        <vertAlign val="subscript"/>
        <sz val="8"/>
        <rFont val="Comic Sans MS"/>
        <family val="4"/>
      </rPr>
      <t>4</t>
    </r>
  </si>
  <si>
    <r>
      <t>Municipal N</t>
    </r>
    <r>
      <rPr>
        <vertAlign val="subscript"/>
        <sz val="8"/>
        <rFont val="Comic Sans MS"/>
        <family val="4"/>
      </rPr>
      <t>2</t>
    </r>
    <r>
      <rPr>
        <sz val="8"/>
        <rFont val="Comic Sans MS"/>
        <family val="4"/>
      </rPr>
      <t xml:space="preserve">O </t>
    </r>
  </si>
  <si>
    <r>
      <t>Industrial CH</t>
    </r>
    <r>
      <rPr>
        <vertAlign val="subscript"/>
        <sz val="8"/>
        <rFont val="Comic Sans MS"/>
        <family val="4"/>
      </rPr>
      <t>4</t>
    </r>
  </si>
  <si>
    <t>Fruits &amp; Vegetables</t>
  </si>
  <si>
    <t>Red Meat</t>
  </si>
  <si>
    <t>Poultry</t>
  </si>
  <si>
    <t>Pulp &amp; Paper</t>
  </si>
  <si>
    <r>
      <t>Municipal N</t>
    </r>
    <r>
      <rPr>
        <vertAlign val="subscript"/>
        <sz val="8"/>
        <rFont val="Comic Sans MS"/>
        <family val="4"/>
      </rPr>
      <t>2</t>
    </r>
    <r>
      <rPr>
        <sz val="8"/>
        <rFont val="Comic Sans MS"/>
        <family val="4"/>
      </rPr>
      <t>O</t>
    </r>
  </si>
  <si>
    <t>Energy</t>
  </si>
  <si>
    <r>
      <t>CO</t>
    </r>
    <r>
      <rPr>
        <vertAlign val="subscript"/>
        <sz val="8"/>
        <rFont val="Comic Sans MS"/>
        <family val="4"/>
      </rPr>
      <t>2</t>
    </r>
    <r>
      <rPr>
        <sz val="8"/>
        <rFont val="Comic Sans MS"/>
        <family val="4"/>
      </rPr>
      <t xml:space="preserve"> from Fossil Fuel Combustion</t>
    </r>
  </si>
  <si>
    <t xml:space="preserve">Agriculture </t>
  </si>
  <si>
    <t>LULUCF</t>
  </si>
  <si>
    <t>Waste</t>
  </si>
  <si>
    <r>
      <t>Indirect CO</t>
    </r>
    <r>
      <rPr>
        <vertAlign val="subscript"/>
        <sz val="8"/>
        <rFont val="Comic Sans MS"/>
        <family val="4"/>
      </rPr>
      <t>2</t>
    </r>
    <r>
      <rPr>
        <sz val="8"/>
        <rFont val="Comic Sans MS"/>
        <family val="4"/>
      </rPr>
      <t xml:space="preserve"> from Electricity Consumption*</t>
    </r>
  </si>
  <si>
    <t>Gross Emissions</t>
  </si>
  <si>
    <t>Sinks</t>
  </si>
  <si>
    <t>Net Emissions</t>
  </si>
  <si>
    <t xml:space="preserve">* Emissions from Electricity Consumption are not included in totals in order to avoid double counting with Fossil Fuel Combustion estimates. </t>
  </si>
  <si>
    <t>Press the up and down arrows below to change the year of the pie chart.</t>
  </si>
  <si>
    <t>Emissions Year:</t>
  </si>
  <si>
    <t xml:space="preserve">        </t>
  </si>
  <si>
    <t>This row links to the chart above</t>
  </si>
  <si>
    <t>Energy (no CO2FFC)</t>
  </si>
  <si>
    <t>For Pie Chart</t>
  </si>
  <si>
    <r>
      <t>Emissions (MMTCO</t>
    </r>
    <r>
      <rPr>
        <b/>
        <vertAlign val="subscript"/>
        <sz val="9"/>
        <rFont val="Comic Sans MS"/>
        <family val="4"/>
      </rPr>
      <t>2</t>
    </r>
    <r>
      <rPr>
        <b/>
        <sz val="9"/>
        <rFont val="Comic Sans MS"/>
        <family val="4"/>
      </rPr>
      <t>E)</t>
    </r>
    <r>
      <rPr>
        <b/>
        <vertAlign val="superscript"/>
        <sz val="9"/>
        <rFont val="Comic Sans MS"/>
        <family val="4"/>
      </rPr>
      <t>a</t>
    </r>
  </si>
  <si>
    <r>
      <t>Gross CO</t>
    </r>
    <r>
      <rPr>
        <vertAlign val="subscript"/>
        <sz val="8"/>
        <rFont val="Comic Sans MS"/>
        <family val="4"/>
      </rPr>
      <t>2</t>
    </r>
  </si>
  <si>
    <r>
      <t>Net CO</t>
    </r>
    <r>
      <rPr>
        <vertAlign val="subscript"/>
        <sz val="8"/>
        <rFont val="Comic Sans MS"/>
        <family val="4"/>
      </rPr>
      <t>2</t>
    </r>
  </si>
  <si>
    <r>
      <t>Indirect CO</t>
    </r>
    <r>
      <rPr>
        <vertAlign val="subscript"/>
        <sz val="8"/>
        <rFont val="Comic Sans MS"/>
        <family val="4"/>
      </rPr>
      <t>2</t>
    </r>
    <r>
      <rPr>
        <sz val="8"/>
        <rFont val="Comic Sans MS"/>
        <family val="4"/>
      </rPr>
      <t xml:space="preserve"> from Electricity Consumption</t>
    </r>
    <r>
      <rPr>
        <vertAlign val="superscript"/>
        <sz val="8"/>
        <rFont val="Comic Sans MS"/>
        <family val="4"/>
      </rPr>
      <t>b</t>
    </r>
  </si>
  <si>
    <t>Net Emissions (Sources and Sinks)</t>
  </si>
  <si>
    <t>Note: If the LULUCF sector is responsible for net sequestration, those totals will be registered in "Sinks."</t>
  </si>
  <si>
    <r>
      <rPr>
        <vertAlign val="superscript"/>
        <sz val="8"/>
        <rFont val="Comic Sans MS"/>
        <family val="4"/>
      </rPr>
      <t>a</t>
    </r>
    <r>
      <rPr>
        <sz val="8"/>
        <rFont val="Comic Sans MS"/>
        <family val="4"/>
      </rPr>
      <t xml:space="preserve"> Includes Additional Emission Sources</t>
    </r>
  </si>
  <si>
    <r>
      <rPr>
        <vertAlign val="superscript"/>
        <sz val="8"/>
        <rFont val="Comic Sans MS"/>
        <family val="4"/>
      </rPr>
      <t>b</t>
    </r>
    <r>
      <rPr>
        <sz val="8"/>
        <rFont val="Comic Sans MS"/>
        <family val="4"/>
      </rPr>
      <t xml:space="preserve"> Emissions from Electricity Consumption are not included in totals in order to avoid double counting with Fossil Fuel Combustion estimates. </t>
    </r>
  </si>
  <si>
    <t>For CO2 Emissions by source graph</t>
  </si>
  <si>
    <t>Gross CO2</t>
  </si>
  <si>
    <t>CH4</t>
  </si>
  <si>
    <t>N2O</t>
  </si>
  <si>
    <t>HFC, PFC, and SF6</t>
  </si>
  <si>
    <r>
      <t>Emissions Per Capita  (MTCO</t>
    </r>
    <r>
      <rPr>
        <b/>
        <vertAlign val="subscript"/>
        <sz val="9"/>
        <rFont val="Comic Sans MS"/>
        <family val="4"/>
      </rPr>
      <t>2</t>
    </r>
    <r>
      <rPr>
        <b/>
        <sz val="9"/>
        <rFont val="Comic Sans MS"/>
        <family val="4"/>
      </rPr>
      <t>E)</t>
    </r>
  </si>
  <si>
    <t>Gross Emissions Intensity</t>
  </si>
  <si>
    <t>Net Emissions Intensity (Sources and Sinks)</t>
  </si>
  <si>
    <r>
      <t>Emissions Per GSP (Gross State Product)  (MTCO</t>
    </r>
    <r>
      <rPr>
        <b/>
        <vertAlign val="subscript"/>
        <sz val="9"/>
        <rFont val="Comic Sans MS"/>
        <family val="4"/>
      </rPr>
      <t>2</t>
    </r>
    <r>
      <rPr>
        <b/>
        <sz val="9"/>
        <rFont val="Comic Sans MS"/>
        <family val="4"/>
      </rPr>
      <t>E)</t>
    </r>
  </si>
  <si>
    <t>000 people</t>
  </si>
  <si>
    <t>Source: U.S. Census American FactFinder https://factfinder.census.gov/</t>
  </si>
  <si>
    <t>State</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</si>
  <si>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</si>
  <si>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</si>
  <si>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</si>
  <si>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</si>
  <si>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</si>
  <si>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</si>
  <si>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</si>
  <si>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</si>
  <si>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</si>
  <si>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</si>
  <si>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</si>
  <si>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</si>
  <si>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</si>
  <si>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</si>
  <si>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</si>
  <si>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</si>
  <si>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</si>
  <si>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</si>
  <si>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</si>
  <si>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</si>
  <si>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</si>
  <si>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</si>
  <si>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</si>
  <si>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</si>
  <si>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</si>
  <si>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</si>
  <si>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</si>
  <si>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</si>
  <si>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</si>
  <si>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</si>
  <si>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</si>
  <si>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</si>
  <si>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</si>
  <si>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</si>
  <si>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</si>
  <si>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</si>
  <si>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</si>
  <si>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</si>
  <si>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</si>
  <si>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</si>
  <si>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</si>
  <si>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</si>
  <si>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</si>
  <si>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</si>
  <si>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</si>
  <si>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</si>
  <si>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</si>
  <si>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</si>
  <si>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</si>
  <si>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</si>
  <si>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</si>
  <si>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USA</t>
  </si>
  <si>
    <t>Gross Domestic Product by State (millions of current dollars)</t>
  </si>
  <si>
    <t>USA*</t>
  </si>
  <si>
    <t>* The difference between the United States and sum-of-states reflects overseas activity, economic activity taking place outside the borders of the United States by the military and associated federal civilian support staff.</t>
  </si>
  <si>
    <t>Select a State . . .</t>
  </si>
  <si>
    <t>XX</t>
  </si>
  <si>
    <t>Alabama</t>
  </si>
  <si>
    <t>CH4 GWP</t>
  </si>
  <si>
    <t>Alaska</t>
  </si>
  <si>
    <t>N2O GWP</t>
  </si>
  <si>
    <t>Arizona</t>
  </si>
  <si>
    <t>Arkansas</t>
  </si>
  <si>
    <t>California</t>
  </si>
  <si>
    <t>Colorado</t>
  </si>
  <si>
    <t>CO2 / C</t>
  </si>
  <si>
    <t>Connecticut</t>
  </si>
  <si>
    <t>C / CO2</t>
  </si>
  <si>
    <t>Delaware</t>
  </si>
  <si>
    <t>District of Columbia</t>
  </si>
  <si>
    <t>Florida</t>
  </si>
  <si>
    <t>Multiplier</t>
  </si>
  <si>
    <t>Georgia</t>
  </si>
  <si>
    <t>Units</t>
  </si>
  <si>
    <t>MMTCO2E</t>
  </si>
  <si>
    <t>Hawaii</t>
  </si>
  <si>
    <t>Idaho</t>
  </si>
  <si>
    <t>Illinois</t>
  </si>
  <si>
    <t>VersionNumber</t>
  </si>
  <si>
    <t>Indiana</t>
  </si>
  <si>
    <t>VersionDate</t>
  </si>
  <si>
    <t>Iowa</t>
  </si>
  <si>
    <t>Year</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</si>
  <si>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</si>
  <si>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</si>
  <si>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</si>
  <si>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</si>
  <si>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</si>
  <si>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</si>
  <si>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</si>
  <si>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</si>
  <si>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</si>
  <si>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</si>
  <si>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</si>
  <si>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</si>
  <si>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</si>
  <si>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</si>
  <si>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</si>
  <si>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</si>
  <si>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</si>
  <si>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</si>
  <si>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</si>
  <si>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</si>
  <si>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</si>
  <si>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</si>
  <si>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</si>
  <si>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</si>
  <si>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</si>
  <si>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</si>
  <si>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</si>
  <si>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</si>
  <si>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</si>
  <si>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</si>
  <si>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</si>
  <si>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</si>
  <si>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</si>
  <si>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</si>
  <si>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</si>
  <si>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$B$4</t>
  </si>
  <si>
    <t>Notes and Comments</t>
  </si>
  <si>
    <t>Use this sheet to keep a record of data sources, edits, or any other useful notes about the use of this tool.</t>
  </si>
  <si>
    <t>1990-2020: U.S. Census Data Archives</t>
  </si>
  <si>
    <t>Sources: US Census American FactFinder https://factfinder.census.gov/</t>
  </si>
  <si>
    <t>Population Division, U.S. Census Bureau.</t>
  </si>
  <si>
    <t>Source: U.S. Department of Commerce, Bureau of Economic Analysis 1997-2020. Annual Gross Domestic Product (GDP) by State in current dollars &lt;https://apps.bea.gov/itable/iTable.cfm?ReqID=70&gt;</t>
  </si>
  <si>
    <t>Heavy-Duty Buses</t>
  </si>
  <si>
    <r>
      <t xml:space="preserve">Before using this module, the user should conduct greenhouse gas inventories for all applicable sources using the individual sector modules. After completing each sector inventory, the user should export the data using the button provided in the final step of each sector module. The modules will then create an output file using a default file name. </t>
    </r>
    <r>
      <rPr>
        <b/>
        <sz val="8"/>
        <color indexed="18"/>
        <rFont val="Comic Sans MS"/>
        <family val="4"/>
      </rPr>
      <t>Please do not change the file names or alter the output files in any way.</t>
    </r>
    <r>
      <rPr>
        <sz val="8"/>
        <color indexed="18"/>
        <rFont val="Comic Sans MS"/>
        <family val="4"/>
      </rPr>
      <t xml:space="preserve"> Once all eleven output files have been generated, the user of this Synthesis module should then begin here by choosing a state. In step 2, when the user clicks on the buttons to get the data, the user will be prompted to locate the output files. This module will then open the specified file and copy the necessary data.  In order to attain correct results, please be sure to choose the proper files when prompted. Please see the User's Guide for the Synthesis Tool for additional information.
Note: The default GWPs used in this module are from the IPCC Fifth Assessment Report (AR5) but can be adjusted in the Factors tab to reflect other sources.</t>
    </r>
  </si>
  <si>
    <r>
      <t xml:space="preserve">State Inventory Tool - </t>
    </r>
    <r>
      <rPr>
        <b/>
        <i/>
        <sz val="14"/>
        <color indexed="18"/>
        <rFont val="Comic Sans MS"/>
        <family val="4"/>
      </rPr>
      <t>Synthesis Tool</t>
    </r>
    <r>
      <rPr>
        <b/>
        <sz val="14"/>
        <color indexed="18"/>
        <rFont val="Comic Sans MS"/>
        <family val="4"/>
      </rPr>
      <t xml:space="preserve">
</t>
    </r>
    <r>
      <rPr>
        <b/>
        <i/>
        <sz val="11"/>
        <color rgb="FF000080"/>
        <rFont val="Comic Sans MS"/>
        <family val="4"/>
      </rPr>
      <t>Version 2023.2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</si>
</sst>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_(* \(#,##0.00\);_(* &quot;-&quot;??_);_(@_)"/>
    <numFmt numFmtId="164" formatCode="_(* #,##0_);_(* \(#,##0\);_(* &quot;-&quot;??_);_(@_)"/>
    <numFmt numFmtId="165" formatCode="[&lt;0.05]&quot;+&quot;_);#,##0.0_)"/>
    <numFmt numFmtId="166" formatCode="#,##0.0000"/>
    <numFmt numFmtId="167" formatCode="_(* #,##0.000_);_(* \(#,##0.000\);_(* &quot;-&quot;??_);_(@_)"/>
    <numFmt numFmtId="168" formatCode="_([$€-2]* #,##0.00_);_([$€-2]* \(#,##0.00\);_([$€-2]* &quot;-&quot;??_)"/>
    <numFmt numFmtId="169" formatCode="_(* #,##0.0000_);_(* \(#,##0.0000\);_(* &quot;-&quot;??_);_(@_)"/>
    <numFmt numFmtId="170" formatCode="0.0"/>
    <numFmt numFmtId="171" formatCode="[$-409]m/d/yy\ h:mm\ AM/PM;@"/>
    <numFmt numFmtId="172" formatCode="#,##0.000"/>
  </numFmts>
  <fonts count="71">
    <font>
      <sz val="10"/>
      <name val="Arial"/>
    </font>
    <font>
      <sz val="10"/>
      <name val="Arial"/>
      <family val="2"/>
    </font>
    <font>
      <b/>
      <sz val="14"/>
      <color indexed="18"/>
      <name val="Comic Sans MS"/>
      <family val="4"/>
    </font>
    <font>
      <b/>
      <sz val="14"/>
      <name val="Comic Sans MS"/>
      <family val="4"/>
    </font>
    <font>
      <sz val="8"/>
      <name val="Comic Sans MS"/>
      <family val="4"/>
    </font>
    <font>
      <sz val="7"/>
      <name val="Arial"/>
      <family val="2"/>
    </font>
    <font>
      <b/>
      <sz val="7"/>
      <name val="Comic Sans MS"/>
      <family val="4"/>
    </font>
    <font>
      <sz val="7"/>
      <name val="Comic Sans MS"/>
      <family val="4"/>
    </font>
    <font>
      <b/>
      <sz val="8"/>
      <name val="Comic Sans MS"/>
      <family val="4"/>
    </font>
    <font>
      <sz val="8"/>
      <name val="Arial"/>
      <family val="2"/>
    </font>
    <font>
      <b/>
      <vertAlign val="subscript"/>
      <sz val="8"/>
      <name val="Comic Sans MS"/>
      <family val="4"/>
    </font>
    <font>
      <sz val="10"/>
      <name val="Comic Sans MS"/>
      <family val="4"/>
    </font>
    <font>
      <b/>
      <sz val="7"/>
      <name val="Arial"/>
      <family val="2"/>
    </font>
    <font>
      <b/>
      <sz val="8"/>
      <name val="Arial"/>
      <family val="2"/>
    </font>
    <font>
      <u/>
      <sz val="14"/>
      <name val="Comic Sans MS"/>
      <family val="4"/>
    </font>
    <font>
      <sz val="10"/>
      <color indexed="9"/>
      <name val="Arial"/>
      <family val="2"/>
    </font>
    <font>
      <i/>
      <sz val="8"/>
      <name val="Comic Sans MS"/>
      <family val="4"/>
    </font>
    <font>
      <sz val="8"/>
      <name val="Arial"/>
      <family val="2"/>
    </font>
    <font>
      <vertAlign val="subscript"/>
      <sz val="8"/>
      <name val="Comic Sans MS"/>
      <family val="4"/>
    </font>
    <font>
      <sz val="9"/>
      <name val="Times New Roman"/>
      <family val="1"/>
    </font>
    <font>
      <b/>
      <sz val="9"/>
      <name val="Times New Roman"/>
      <family val="1"/>
    </font>
    <font>
      <b/>
      <sz val="12"/>
      <name val="Times New Roman"/>
      <family val="1"/>
    </font>
    <font>
      <sz val="8"/>
      <name val="Helvetica"/>
    </font>
    <font>
      <sz val="10"/>
      <name val="Arial"/>
      <family val="2"/>
    </font>
    <font>
      <b/>
      <sz val="10"/>
      <color indexed="18"/>
      <name val="Comic Sans MS"/>
      <family val="4"/>
    </font>
    <font>
      <b/>
      <sz val="10"/>
      <name val="Comic Sans MS"/>
      <family val="4"/>
    </font>
    <font>
      <b/>
      <i/>
      <sz val="9"/>
      <name val="Comic Sans MS"/>
      <family val="4"/>
    </font>
    <font>
      <b/>
      <vertAlign val="subscript"/>
      <sz val="10"/>
      <color indexed="18"/>
      <name val="Comic Sans MS"/>
      <family val="4"/>
    </font>
    <font>
      <b/>
      <sz val="9"/>
      <name val="Comic Sans MS"/>
      <family val="4"/>
    </font>
    <font>
      <b/>
      <sz val="12"/>
      <name val="Comic Sans MS"/>
      <family val="4"/>
    </font>
    <font>
      <sz val="9"/>
      <name val="Comic Sans MS"/>
      <family val="4"/>
    </font>
    <font>
      <vertAlign val="subscript"/>
      <sz val="9"/>
      <name val="Comic Sans MS"/>
      <family val="4"/>
    </font>
    <font>
      <i/>
      <sz val="8"/>
      <color indexed="18"/>
      <name val="Comic Sans MS"/>
      <family val="4"/>
    </font>
    <font>
      <b/>
      <sz val="9"/>
      <color indexed="18"/>
      <name val="Comic Sans MS"/>
      <family val="4"/>
    </font>
    <font>
      <sz val="8"/>
      <color indexed="18"/>
      <name val="Comic Sans MS"/>
      <family val="4"/>
    </font>
    <font>
      <sz val="10"/>
      <color indexed="9"/>
      <name val="Comic Sans MS"/>
      <family val="4"/>
    </font>
    <font>
      <b/>
      <i/>
      <sz val="14"/>
      <color indexed="18"/>
      <name val="Comic Sans MS"/>
      <family val="4"/>
    </font>
    <font>
      <sz val="9"/>
      <name val="Arial"/>
      <family val="2"/>
    </font>
    <font>
      <vertAlign val="subscript"/>
      <sz val="8"/>
      <name val="Arial"/>
      <family val="2"/>
    </font>
    <font>
      <b/>
      <sz val="10"/>
      <name val="Arial"/>
      <family val="2"/>
    </font>
    <font>
      <b/>
      <sz val="10"/>
      <name val="Arial"/>
      <family val="2"/>
    </font>
    <font>
      <b/>
      <sz val="9"/>
      <name val="Arial"/>
      <family val="2"/>
    </font>
    <font>
      <b/>
      <sz val="8"/>
      <name val="Arial Unicode MS"/>
      <family val="2"/>
    </font>
    <font>
      <b/>
      <sz val="8"/>
      <color indexed="81"/>
      <name val="Tahoma"/>
      <family val="2"/>
    </font>
    <font>
      <sz val="8"/>
      <color indexed="81"/>
      <name val="Tahoma"/>
      <family val="2"/>
    </font>
    <font>
      <b/>
      <vertAlign val="subscript"/>
      <sz val="9"/>
      <name val="Comic Sans MS"/>
      <family val="4"/>
    </font>
    <font>
      <i/>
      <vertAlign val="subscript"/>
      <sz val="8"/>
      <name val="Comic Sans MS"/>
      <family val="4"/>
    </font>
    <font>
      <sz val="8"/>
      <color indexed="9"/>
      <name val="Comic Sans MS"/>
      <family val="4"/>
    </font>
    <font>
      <sz val="7"/>
      <color indexed="8"/>
      <name val="Comic Sans MS"/>
      <family val="4"/>
    </font>
    <font>
      <i/>
      <sz val="7"/>
      <color indexed="8"/>
      <name val="Comic Sans MS"/>
      <family val="4"/>
    </font>
    <font>
      <b/>
      <vertAlign val="subscript"/>
      <sz val="10"/>
      <name val="Comic Sans MS"/>
      <family val="4"/>
    </font>
    <font>
      <sz val="8"/>
      <color theme="0"/>
      <name val="Comic Sans MS"/>
      <family val="4"/>
    </font>
    <font>
      <sz val="10"/>
      <color theme="0"/>
      <name val="Comic Sans MS"/>
      <family val="4"/>
    </font>
    <font>
      <sz val="10"/>
      <color theme="0"/>
      <name val="Arial"/>
      <family val="2"/>
    </font>
    <font>
      <sz val="10"/>
      <color rgb="FFFF0000"/>
      <name val="Comic Sans MS"/>
      <family val="4"/>
    </font>
    <font>
      <sz val="10"/>
      <color rgb="FFFF0000"/>
      <name val="Arial"/>
      <family val="2"/>
    </font>
    <font>
      <sz val="9"/>
      <color indexed="81"/>
      <name val="Tahoma"/>
      <family val="2"/>
    </font>
    <font>
      <sz val="8"/>
      <color rgb="FFFF0000"/>
      <name val="Comic Sans MS"/>
      <family val="4"/>
    </font>
    <font>
      <i/>
      <sz val="10"/>
      <name val="Arial"/>
      <family val="2"/>
    </font>
    <font>
      <sz val="10"/>
      <color theme="0" tint="-0.499984740745262"/>
      <name val="Arial"/>
      <family val="2"/>
    </font>
    <font>
      <sz val="8"/>
      <color theme="0" tint="-0.249977111117893"/>
      <name val="Arial"/>
      <family val="2"/>
    </font>
    <font>
      <i/>
      <sz val="8"/>
      <color theme="0"/>
      <name val="Comic Sans MS"/>
      <family val="4"/>
    </font>
    <font>
      <sz val="8"/>
      <color theme="0"/>
      <name val="Arial"/>
      <family val="2"/>
    </font>
    <font>
      <sz val="9"/>
      <color theme="0"/>
      <name val="Comic Sans MS"/>
      <family val="4"/>
    </font>
    <font>
      <vertAlign val="superscript"/>
      <sz val="8"/>
      <name val="Comic Sans MS"/>
      <family val="4"/>
    </font>
    <font>
      <b/>
      <sz val="8"/>
      <color indexed="18"/>
      <name val="Comic Sans MS"/>
      <family val="4"/>
    </font>
    <font>
      <sz val="9"/>
      <color theme="0"/>
      <name val="Arial"/>
      <family val="2"/>
    </font>
    <font>
      <b/>
      <vertAlign val="superscript"/>
      <sz val="9"/>
      <name val="Comic Sans MS"/>
      <family val="4"/>
    </font>
    <font>
      <b/>
      <i/>
      <sz val="11"/>
      <color rgb="FF000080"/>
      <name val="Comic Sans MS"/>
      <family val="4"/>
    </font>
    <font>
      <b/>
      <sz val="8"/>
      <color theme="0"/>
      <name val="Comic Sans MS"/>
      <family val="4"/>
    </font>
    <font>
      <sz val="8"/>
      <color rgb="FFFF0000"/>
      <name val="Arial"/>
      <family val="2"/>
    </font>
  </fonts>
  <fills count="17">
    <fill>
      <patternFill patternType="none"/>
    </fill>
    <fill>
      <patternFill patternType="gray125"/>
    </fill>
    <fill>
      <patternFill patternType="solid">
        <fgColor indexed="22"/>
        <bgColor indexed="64"/>
      </patternFill>
    </fill>
    <fill>
      <patternFill patternType="darkTrellis"/>
    </fill>
    <fill>
      <patternFill patternType="solid">
        <fgColor indexed="51"/>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6"/>
        <bgColor indexed="64"/>
      </patternFill>
    </fill>
    <fill>
      <patternFill patternType="solid">
        <fgColor indexed="43"/>
        <bgColor indexed="64"/>
      </patternFill>
    </fill>
    <fill>
      <patternFill patternType="solid">
        <fgColor indexed="9"/>
        <bgColor indexed="64"/>
      </patternFill>
    </fill>
    <fill>
      <patternFill patternType="solid">
        <fgColor indexed="47"/>
        <bgColor indexed="64"/>
      </patternFill>
    </fill>
    <fill>
      <patternFill patternType="solid">
        <fgColor indexed="40"/>
        <bgColor indexed="64"/>
      </patternFill>
    </fill>
    <fill>
      <patternFill patternType="solid">
        <fgColor theme="0"/>
        <bgColor indexed="64"/>
      </patternFill>
    </fill>
    <fill>
      <patternFill patternType="solid">
        <fgColor rgb="FFFFFF99"/>
        <bgColor indexed="64"/>
      </patternFill>
    </fill>
    <fill>
      <patternFill patternType="solid">
        <fgColor theme="9" tint="0.79998168889431442"/>
        <bgColor indexed="64"/>
      </patternFill>
    </fill>
    <fill>
      <patternFill patternType="solid">
        <fgColor theme="7" tint="0.7999816888943144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21">
    <xf numFmtId="0" fontId="0" fillId="0" borderId="0"/>
    <xf numFmtId="49" fontId="19" fillId="0" borderId="1" applyNumberFormat="0" applyFont="0" applyFill="0" applyBorder="0" applyProtection="0">
      <alignment horizontal="left" vertical="center" indent="2"/>
    </xf>
    <xf numFmtId="49" fontId="19" fillId="0" borderId="2" applyNumberFormat="0" applyFont="0" applyFill="0" applyBorder="0" applyProtection="0">
      <alignment horizontal="left" vertical="center" indent="5"/>
    </xf>
    <xf numFmtId="4" fontId="20" fillId="0" borderId="3" applyFill="0" applyBorder="0" applyProtection="0">
      <alignment horizontal="right" vertical="center"/>
    </xf>
    <xf numFmtId="43" fontId="1" fillId="0" borderId="0" applyFont="0" applyFill="0" applyBorder="0" applyAlignment="0" applyProtection="0"/>
    <xf numFmtId="168" fontId="1" fillId="0" borderId="0" applyFont="0" applyFill="0" applyBorder="0" applyAlignment="0" applyProtection="0"/>
    <xf numFmtId="0" fontId="21" fillId="0" borderId="0" applyNumberFormat="0" applyFill="0" applyBorder="0" applyAlignment="0" applyProtection="0"/>
    <xf numFmtId="4" fontId="19" fillId="0" borderId="1" applyFill="0" applyBorder="0" applyProtection="0">
      <alignment horizontal="right" vertical="center"/>
    </xf>
    <xf numFmtId="49" fontId="20" fillId="0" borderId="1" applyNumberFormat="0" applyFill="0" applyBorder="0" applyProtection="0">
      <alignment horizontal="left" vertical="center"/>
    </xf>
    <xf numFmtId="0" fontId="19" fillId="0" borderId="1" applyNumberFormat="0" applyFill="0" applyAlignment="0" applyProtection="0"/>
    <xf numFmtId="0" fontId="22" fillId="2" borderId="0" applyNumberFormat="0" applyFont="0" applyBorder="0" applyAlignment="0" applyProtection="0"/>
    <xf numFmtId="0" fontId="1" fillId="0" borderId="0" applyBorder="0"/>
    <xf numFmtId="0" fontId="17" fillId="0" borderId="0"/>
    <xf numFmtId="0" fontId="1" fillId="0" borderId="0" applyBorder="0"/>
    <xf numFmtId="0" fontId="1" fillId="0" borderId="0" applyBorder="0"/>
    <xf numFmtId="0" fontId="17" fillId="0" borderId="0"/>
    <xf numFmtId="0" fontId="1" fillId="0" borderId="0"/>
    <xf numFmtId="0" fontId="9" fillId="0" borderId="0"/>
    <xf numFmtId="0" fontId="1" fillId="0" borderId="0"/>
    <xf numFmtId="166" fontId="19" fillId="3" borderId="1" applyNumberFormat="0" applyFont="0" applyBorder="0" applyAlignment="0" applyProtection="0">
      <alignment horizontal="right" vertical="center"/>
    </xf>
    <xf numFmtId="9" fontId="1" fillId="0" borderId="0" applyFont="0" applyFill="0" applyBorder="0" applyAlignment="0" applyProtection="0"/>
  </cellStyleXfs>
  <cellXfs count="432">
    <xf numFmtId="0" fontId="0" fillId="0" borderId="0" xfId="0"/>
    <xf numFmtId="0" fontId="1" fillId="0" borderId="0" xfId="13"/>
    <xf numFmtId="0" fontId="3" fillId="0" borderId="0" xfId="13" applyFont="1"/>
    <xf numFmtId="0" fontId="4" fillId="0" borderId="0" xfId="13" applyFont="1" applyBorder="1" applyAlignment="1">
      <alignment horizontal="left" vertical="top" wrapText="1"/>
    </xf>
    <xf numFmtId="0" fontId="1" fillId="0" borderId="0" xfId="13" applyBorder="1"/>
    <xf numFmtId="0" fontId="5" fillId="0" borderId="0" xfId="13" applyFont="1" applyBorder="1"/>
    <xf numFmtId="0" fontId="6" fillId="0" borderId="0" xfId="13" applyFont="1" applyBorder="1" applyAlignment="1">
      <alignment horizontal="left" wrapText="1"/>
    </xf>
    <xf numFmtId="0" fontId="7" fillId="0" borderId="0" xfId="13" applyFont="1" applyBorder="1" applyAlignment="1">
      <alignment horizontal="left" indent="1"/>
    </xf>
    <xf numFmtId="0" fontId="8" fillId="0" borderId="4" xfId="13" applyFont="1" applyBorder="1"/>
    <xf numFmtId="0" fontId="8" fillId="0" borderId="5" xfId="13" applyFont="1" applyBorder="1"/>
    <xf numFmtId="0" fontId="8" fillId="0" borderId="4" xfId="13" quotePrefix="1" applyFont="1" applyBorder="1" applyAlignment="1">
      <alignment horizontal="right"/>
    </xf>
    <xf numFmtId="0" fontId="4" fillId="0" borderId="0" xfId="13" applyFont="1" applyBorder="1"/>
    <xf numFmtId="0" fontId="5" fillId="0" borderId="0" xfId="13" applyFont="1" applyBorder="1" applyAlignment="1">
      <alignment wrapText="1"/>
    </xf>
    <xf numFmtId="0" fontId="11" fillId="0" borderId="0" xfId="13" applyFont="1" applyBorder="1"/>
    <xf numFmtId="0" fontId="12" fillId="0" borderId="0" xfId="13" applyFont="1" applyBorder="1"/>
    <xf numFmtId="0" fontId="9" fillId="0" borderId="0" xfId="13" applyFont="1"/>
    <xf numFmtId="0" fontId="9" fillId="0" borderId="0" xfId="13" applyFont="1" applyBorder="1"/>
    <xf numFmtId="0" fontId="9" fillId="0" borderId="0" xfId="0" applyFont="1"/>
    <xf numFmtId="0" fontId="4" fillId="0" borderId="0" xfId="0" applyFont="1"/>
    <xf numFmtId="0" fontId="3" fillId="0" borderId="0" xfId="0" applyFont="1"/>
    <xf numFmtId="0" fontId="8" fillId="0" borderId="4" xfId="0" applyFont="1" applyBorder="1"/>
    <xf numFmtId="0" fontId="4" fillId="4" borderId="0" xfId="0" applyFont="1" applyFill="1"/>
    <xf numFmtId="43" fontId="4" fillId="4" borderId="0" xfId="4" applyFont="1" applyFill="1"/>
    <xf numFmtId="0" fontId="4" fillId="0" borderId="0" xfId="0" applyFont="1" applyAlignment="1">
      <alignment horizontal="left" indent="1"/>
    </xf>
    <xf numFmtId="43" fontId="4" fillId="0" borderId="0" xfId="4" applyFont="1"/>
    <xf numFmtId="0" fontId="4" fillId="0" borderId="4" xfId="0" applyFont="1" applyBorder="1" applyAlignment="1">
      <alignment horizontal="left" indent="1"/>
    </xf>
    <xf numFmtId="43" fontId="4" fillId="0" borderId="4" xfId="4" applyFont="1" applyBorder="1"/>
    <xf numFmtId="0" fontId="4" fillId="5" borderId="0" xfId="0" applyFont="1" applyFill="1"/>
    <xf numFmtId="43" fontId="4" fillId="0" borderId="0" xfId="4" applyFont="1" applyAlignment="1"/>
    <xf numFmtId="0" fontId="4" fillId="6" borderId="0" xfId="0" applyFont="1" applyFill="1"/>
    <xf numFmtId="43" fontId="4" fillId="6" borderId="0" xfId="4" applyFont="1" applyFill="1"/>
    <xf numFmtId="0" fontId="4" fillId="7" borderId="0" xfId="0" applyFont="1" applyFill="1"/>
    <xf numFmtId="43" fontId="4" fillId="7" borderId="0" xfId="4" applyFont="1" applyFill="1"/>
    <xf numFmtId="0" fontId="4" fillId="8" borderId="0" xfId="0" applyFont="1" applyFill="1"/>
    <xf numFmtId="43" fontId="4" fillId="8" borderId="0" xfId="4" applyFont="1" applyFill="1"/>
    <xf numFmtId="0" fontId="4" fillId="9" borderId="0" xfId="0" applyFont="1" applyFill="1" applyAlignment="1">
      <alignment horizontal="left"/>
    </xf>
    <xf numFmtId="43" fontId="4" fillId="9" borderId="0" xfId="4" applyFont="1" applyFill="1" applyBorder="1"/>
    <xf numFmtId="43" fontId="4" fillId="0" borderId="0" xfId="0" applyNumberFormat="1" applyFont="1"/>
    <xf numFmtId="0" fontId="14" fillId="0" borderId="0" xfId="0" applyFont="1"/>
    <xf numFmtId="164" fontId="4" fillId="5" borderId="0" xfId="4" applyNumberFormat="1" applyFont="1" applyFill="1"/>
    <xf numFmtId="164" fontId="4" fillId="0" borderId="0" xfId="4" applyNumberFormat="1" applyFont="1"/>
    <xf numFmtId="0" fontId="4" fillId="6" borderId="6" xfId="0" applyFont="1" applyFill="1" applyBorder="1"/>
    <xf numFmtId="164" fontId="4" fillId="6" borderId="6" xfId="4" applyNumberFormat="1" applyFont="1" applyFill="1" applyBorder="1"/>
    <xf numFmtId="0" fontId="4" fillId="8" borderId="6" xfId="0" applyFont="1" applyFill="1" applyBorder="1"/>
    <xf numFmtId="164" fontId="4" fillId="8" borderId="6" xfId="4" applyNumberFormat="1" applyFont="1" applyFill="1" applyBorder="1"/>
    <xf numFmtId="0" fontId="4" fillId="0" borderId="0" xfId="0" applyFont="1" applyAlignment="1">
      <alignment horizontal="left" wrapText="1" indent="1"/>
    </xf>
    <xf numFmtId="43" fontId="4" fillId="0" borderId="0" xfId="4" applyFont="1" applyFill="1" applyBorder="1"/>
    <xf numFmtId="43" fontId="4" fillId="0" borderId="0" xfId="4" applyFont="1" applyBorder="1"/>
    <xf numFmtId="0" fontId="1" fillId="0" borderId="0" xfId="14"/>
    <xf numFmtId="0" fontId="3" fillId="0" borderId="0" xfId="14" applyFont="1"/>
    <xf numFmtId="0" fontId="4" fillId="0" borderId="0" xfId="14" applyFont="1" applyBorder="1" applyAlignment="1">
      <alignment horizontal="left" vertical="top" wrapText="1"/>
    </xf>
    <xf numFmtId="0" fontId="1" fillId="0" borderId="0" xfId="14" applyBorder="1"/>
    <xf numFmtId="0" fontId="5" fillId="0" borderId="0" xfId="14" applyFont="1" applyBorder="1"/>
    <xf numFmtId="0" fontId="6" fillId="0" borderId="0" xfId="14" applyFont="1" applyBorder="1" applyAlignment="1">
      <alignment horizontal="left" wrapText="1"/>
    </xf>
    <xf numFmtId="0" fontId="4" fillId="0" borderId="0" xfId="14" applyFont="1" applyAlignment="1">
      <alignment horizontal="left" vertical="top" wrapText="1"/>
    </xf>
    <xf numFmtId="0" fontId="7" fillId="0" borderId="0" xfId="14" applyFont="1" applyBorder="1" applyAlignment="1">
      <alignment horizontal="left" indent="1"/>
    </xf>
    <xf numFmtId="0" fontId="8" fillId="0" borderId="4" xfId="14" applyFont="1" applyBorder="1"/>
    <xf numFmtId="0" fontId="1" fillId="0" borderId="4" xfId="14" applyBorder="1"/>
    <xf numFmtId="0" fontId="8" fillId="0" borderId="5" xfId="14" applyFont="1" applyBorder="1"/>
    <xf numFmtId="0" fontId="8" fillId="0" borderId="4" xfId="14" quotePrefix="1" applyFont="1" applyBorder="1" applyAlignment="1">
      <alignment horizontal="right"/>
    </xf>
    <xf numFmtId="0" fontId="4" fillId="0" borderId="0" xfId="14" applyFont="1" applyBorder="1"/>
    <xf numFmtId="0" fontId="9" fillId="0" borderId="4" xfId="14" applyFont="1" applyBorder="1"/>
    <xf numFmtId="0" fontId="12" fillId="0" borderId="0" xfId="14" applyFont="1" applyBorder="1"/>
    <xf numFmtId="0" fontId="9" fillId="0" borderId="0" xfId="14" applyFont="1"/>
    <xf numFmtId="0" fontId="9" fillId="0" borderId="0" xfId="14" applyFont="1" applyBorder="1"/>
    <xf numFmtId="0" fontId="4" fillId="0" borderId="0" xfId="14" applyFont="1" applyBorder="1" applyAlignment="1">
      <alignment horizontal="left" indent="1"/>
    </xf>
    <xf numFmtId="0" fontId="11" fillId="0" borderId="0" xfId="14" applyFont="1" applyBorder="1"/>
    <xf numFmtId="0" fontId="1" fillId="0" borderId="0" xfId="11"/>
    <xf numFmtId="0" fontId="24" fillId="0" borderId="0" xfId="11" applyFont="1" applyAlignment="1">
      <alignment horizontal="left"/>
    </xf>
    <xf numFmtId="0" fontId="25" fillId="0" borderId="0" xfId="11" applyFont="1" applyAlignment="1">
      <alignment horizontal="left"/>
    </xf>
    <xf numFmtId="0" fontId="3" fillId="0" borderId="0" xfId="11" applyFont="1"/>
    <xf numFmtId="0" fontId="26" fillId="0" borderId="0" xfId="11" applyFont="1" applyBorder="1"/>
    <xf numFmtId="0" fontId="6" fillId="0" borderId="0" xfId="11" applyFont="1"/>
    <xf numFmtId="0" fontId="8" fillId="0" borderId="4" xfId="11" applyFont="1" applyBorder="1"/>
    <xf numFmtId="0" fontId="1" fillId="0" borderId="4" xfId="11" applyBorder="1"/>
    <xf numFmtId="0" fontId="8" fillId="0" borderId="5" xfId="11" applyFont="1" applyBorder="1"/>
    <xf numFmtId="0" fontId="4" fillId="0" borderId="0" xfId="11" applyFont="1" applyBorder="1"/>
    <xf numFmtId="0" fontId="9" fillId="0" borderId="4" xfId="11" applyFont="1" applyBorder="1"/>
    <xf numFmtId="0" fontId="8" fillId="0" borderId="0" xfId="11" applyFont="1" applyBorder="1"/>
    <xf numFmtId="0" fontId="11" fillId="0" borderId="0" xfId="11" applyFont="1" applyBorder="1"/>
    <xf numFmtId="0" fontId="9" fillId="0" borderId="0" xfId="11" applyFont="1" applyBorder="1"/>
    <xf numFmtId="0" fontId="4" fillId="0" borderId="0" xfId="11" applyFont="1" applyBorder="1" applyAlignment="1">
      <alignment horizontal="left" indent="1"/>
    </xf>
    <xf numFmtId="0" fontId="1" fillId="0" borderId="0" xfId="18"/>
    <xf numFmtId="0" fontId="24" fillId="0" borderId="0" xfId="18" applyFont="1" applyAlignment="1">
      <alignment vertical="center"/>
    </xf>
    <xf numFmtId="0" fontId="24" fillId="0" borderId="0" xfId="18" applyFont="1"/>
    <xf numFmtId="0" fontId="17" fillId="0" borderId="0" xfId="18" applyFont="1"/>
    <xf numFmtId="0" fontId="8" fillId="0" borderId="0" xfId="15" applyFont="1"/>
    <xf numFmtId="0" fontId="8" fillId="0" borderId="7" xfId="15" applyFont="1" applyBorder="1"/>
    <xf numFmtId="167" fontId="4" fillId="0" borderId="7" xfId="15" applyNumberFormat="1" applyFont="1" applyBorder="1"/>
    <xf numFmtId="0" fontId="8" fillId="0" borderId="0" xfId="18" applyFont="1"/>
    <xf numFmtId="167" fontId="4" fillId="0" borderId="0" xfId="4" applyNumberFormat="1" applyFont="1" applyFill="1" applyBorder="1" applyAlignment="1">
      <alignment horizontal="right"/>
    </xf>
    <xf numFmtId="164" fontId="8" fillId="0" borderId="0" xfId="4" applyNumberFormat="1" applyFont="1" applyFill="1" applyBorder="1" applyAlignment="1">
      <alignment horizontal="right"/>
    </xf>
    <xf numFmtId="0" fontId="8" fillId="0" borderId="8" xfId="18" applyFont="1" applyBorder="1"/>
    <xf numFmtId="167" fontId="4" fillId="0" borderId="8" xfId="4" applyNumberFormat="1" applyFont="1" applyFill="1" applyBorder="1" applyAlignment="1">
      <alignment horizontal="right"/>
    </xf>
    <xf numFmtId="0" fontId="8" fillId="0" borderId="0" xfId="15" applyFont="1" applyAlignment="1">
      <alignment horizontal="left" indent="1"/>
    </xf>
    <xf numFmtId="0" fontId="8" fillId="0" borderId="8" xfId="15" applyFont="1" applyBorder="1"/>
    <xf numFmtId="164" fontId="8" fillId="0" borderId="7" xfId="15" applyNumberFormat="1" applyFont="1" applyBorder="1"/>
    <xf numFmtId="164" fontId="4" fillId="0" borderId="0" xfId="4" applyNumberFormat="1" applyFont="1" applyFill="1" applyBorder="1" applyAlignment="1">
      <alignment horizontal="right"/>
    </xf>
    <xf numFmtId="164" fontId="8" fillId="0" borderId="7" xfId="4" applyNumberFormat="1" applyFont="1" applyFill="1" applyBorder="1" applyAlignment="1">
      <alignment horizontal="right"/>
    </xf>
    <xf numFmtId="164" fontId="4" fillId="0" borderId="8" xfId="4" applyNumberFormat="1" applyFont="1" applyFill="1" applyBorder="1" applyAlignment="1">
      <alignment horizontal="right"/>
    </xf>
    <xf numFmtId="0" fontId="8" fillId="0" borderId="9" xfId="15" applyFont="1" applyBorder="1"/>
    <xf numFmtId="164" fontId="8" fillId="0" borderId="9" xfId="4" applyNumberFormat="1" applyFont="1" applyFill="1" applyBorder="1" applyAlignment="1">
      <alignment horizontal="right"/>
    </xf>
    <xf numFmtId="164" fontId="8" fillId="0" borderId="8" xfId="4" applyNumberFormat="1" applyFont="1" applyFill="1" applyBorder="1" applyAlignment="1">
      <alignment horizontal="right"/>
    </xf>
    <xf numFmtId="0" fontId="24" fillId="0" borderId="0" xfId="15" applyFont="1"/>
    <xf numFmtId="0" fontId="17" fillId="0" borderId="0" xfId="15"/>
    <xf numFmtId="164" fontId="8" fillId="0" borderId="0" xfId="4" applyNumberFormat="1" applyFont="1" applyBorder="1"/>
    <xf numFmtId="0" fontId="4" fillId="0" borderId="0" xfId="18" applyFont="1" applyAlignment="1">
      <alignment horizontal="left" indent="1"/>
    </xf>
    <xf numFmtId="164" fontId="4" fillId="0" borderId="0" xfId="4" applyNumberFormat="1" applyFont="1" applyBorder="1"/>
    <xf numFmtId="164" fontId="4" fillId="0" borderId="0" xfId="4" applyNumberFormat="1" applyFont="1" applyFill="1" applyBorder="1"/>
    <xf numFmtId="0" fontId="8" fillId="0" borderId="9" xfId="18" applyFont="1" applyBorder="1"/>
    <xf numFmtId="164" fontId="8" fillId="0" borderId="9" xfId="4" applyNumberFormat="1" applyFont="1" applyBorder="1"/>
    <xf numFmtId="0" fontId="28" fillId="0" borderId="0" xfId="15" applyFont="1"/>
    <xf numFmtId="43" fontId="1" fillId="0" borderId="0" xfId="18" applyNumberFormat="1"/>
    <xf numFmtId="0" fontId="0" fillId="10" borderId="0" xfId="0" applyFill="1"/>
    <xf numFmtId="0" fontId="4" fillId="10" borderId="4" xfId="0" applyFont="1" applyFill="1" applyBorder="1"/>
    <xf numFmtId="0" fontId="8" fillId="10" borderId="4" xfId="0" applyFont="1" applyFill="1" applyBorder="1"/>
    <xf numFmtId="0" fontId="4" fillId="10" borderId="0" xfId="0" applyFont="1" applyFill="1" applyAlignment="1">
      <alignment horizontal="left" indent="1"/>
    </xf>
    <xf numFmtId="0" fontId="4" fillId="10" borderId="4" xfId="0" applyFont="1" applyFill="1" applyBorder="1" applyAlignment="1">
      <alignment horizontal="left" indent="1"/>
    </xf>
    <xf numFmtId="0" fontId="29" fillId="10" borderId="0" xfId="0" applyFont="1" applyFill="1" applyAlignment="1">
      <alignment horizontal="left"/>
    </xf>
    <xf numFmtId="0" fontId="29" fillId="10" borderId="0" xfId="0" applyFont="1" applyFill="1" applyAlignment="1">
      <alignment horizontal="center" wrapText="1"/>
    </xf>
    <xf numFmtId="0" fontId="4" fillId="0" borderId="10" xfId="14" applyFont="1" applyBorder="1"/>
    <xf numFmtId="0" fontId="11" fillId="0" borderId="0" xfId="0" applyFont="1"/>
    <xf numFmtId="0" fontId="30" fillId="0" borderId="0" xfId="0" applyFont="1"/>
    <xf numFmtId="0" fontId="28" fillId="0" borderId="4" xfId="0" applyFont="1" applyBorder="1"/>
    <xf numFmtId="167" fontId="30" fillId="0" borderId="0" xfId="0" applyNumberFormat="1" applyFont="1"/>
    <xf numFmtId="0" fontId="30" fillId="0" borderId="0" xfId="0" applyFont="1" applyAlignment="1">
      <alignment horizontal="left" indent="1"/>
    </xf>
    <xf numFmtId="167" fontId="28" fillId="0" borderId="0" xfId="11" applyNumberFormat="1" applyFont="1" applyBorder="1"/>
    <xf numFmtId="0" fontId="4" fillId="5" borderId="11" xfId="0" applyFont="1" applyFill="1" applyBorder="1"/>
    <xf numFmtId="0" fontId="4" fillId="6" borderId="9" xfId="0" applyFont="1" applyFill="1" applyBorder="1"/>
    <xf numFmtId="0" fontId="4" fillId="11" borderId="9" xfId="0" applyFont="1" applyFill="1" applyBorder="1"/>
    <xf numFmtId="0" fontId="4" fillId="0" borderId="0" xfId="0" applyFont="1" applyAlignment="1">
      <alignment horizontal="left"/>
    </xf>
    <xf numFmtId="0" fontId="11" fillId="10" borderId="0" xfId="0" applyFont="1" applyFill="1"/>
    <xf numFmtId="0" fontId="11" fillId="0" borderId="0" xfId="0" applyFont="1" applyAlignment="1">
      <alignment vertical="center"/>
    </xf>
    <xf numFmtId="0" fontId="32" fillId="0" borderId="0" xfId="0" applyFont="1"/>
    <xf numFmtId="0" fontId="33" fillId="0" borderId="0" xfId="0" applyFont="1"/>
    <xf numFmtId="0" fontId="9" fillId="9" borderId="1" xfId="0" applyFont="1" applyFill="1" applyBorder="1" applyProtection="1">
      <protection locked="0"/>
    </xf>
    <xf numFmtId="0" fontId="35" fillId="0" borderId="0" xfId="0" applyFont="1" applyProtection="1">
      <protection locked="0"/>
    </xf>
    <xf numFmtId="0" fontId="4" fillId="6" borderId="0" xfId="11" applyFont="1" applyFill="1" applyBorder="1" applyAlignment="1">
      <alignment horizontal="left"/>
    </xf>
    <xf numFmtId="0" fontId="4" fillId="9" borderId="0" xfId="0" applyFont="1" applyFill="1"/>
    <xf numFmtId="0" fontId="4" fillId="5" borderId="0" xfId="11" applyFont="1" applyFill="1" applyBorder="1" applyAlignment="1">
      <alignment horizontal="left"/>
    </xf>
    <xf numFmtId="0" fontId="8" fillId="2" borderId="5" xfId="0" applyFont="1" applyFill="1" applyBorder="1"/>
    <xf numFmtId="43" fontId="8" fillId="2" borderId="5" xfId="0" applyNumberFormat="1" applyFont="1" applyFill="1" applyBorder="1"/>
    <xf numFmtId="0" fontId="4" fillId="5" borderId="9" xfId="0" applyFont="1" applyFill="1" applyBorder="1"/>
    <xf numFmtId="0" fontId="2" fillId="0" borderId="0" xfId="0" applyFont="1" applyAlignment="1" applyProtection="1">
      <alignment horizontal="left" vertical="center" wrapText="1"/>
      <protection locked="0"/>
    </xf>
    <xf numFmtId="0" fontId="4" fillId="11" borderId="0" xfId="0" applyFont="1" applyFill="1"/>
    <xf numFmtId="0" fontId="8" fillId="0" borderId="0" xfId="0" applyFont="1"/>
    <xf numFmtId="167" fontId="8" fillId="0" borderId="0" xfId="0" applyNumberFormat="1" applyFont="1"/>
    <xf numFmtId="43" fontId="11" fillId="0" borderId="0" xfId="0" applyNumberFormat="1" applyFont="1"/>
    <xf numFmtId="0" fontId="9" fillId="0" borderId="0" xfId="12" applyFont="1" applyAlignment="1">
      <alignment horizontal="left" wrapText="1" indent="1"/>
    </xf>
    <xf numFmtId="0" fontId="0" fillId="0" borderId="4" xfId="0" applyBorder="1"/>
    <xf numFmtId="0" fontId="8" fillId="0" borderId="5" xfId="0" applyFont="1" applyBorder="1"/>
    <xf numFmtId="0" fontId="8" fillId="0" borderId="4" xfId="0" quotePrefix="1" applyFont="1" applyBorder="1" applyAlignment="1">
      <alignment horizontal="right"/>
    </xf>
    <xf numFmtId="0" fontId="9" fillId="0" borderId="0" xfId="17" applyAlignment="1">
      <alignment horizontal="left"/>
    </xf>
    <xf numFmtId="43" fontId="8" fillId="0" borderId="0" xfId="4" applyFont="1"/>
    <xf numFmtId="0" fontId="0" fillId="0" borderId="0" xfId="0" applyProtection="1">
      <protection locked="0"/>
    </xf>
    <xf numFmtId="0" fontId="15" fillId="10" borderId="0" xfId="0" applyFont="1" applyFill="1"/>
    <xf numFmtId="0" fontId="25" fillId="0" borderId="0" xfId="0" applyFont="1" applyProtection="1">
      <protection locked="0"/>
    </xf>
    <xf numFmtId="0" fontId="16" fillId="0" borderId="0" xfId="0" applyFont="1" applyAlignment="1" applyProtection="1">
      <alignment horizontal="left" indent="1"/>
      <protection locked="0"/>
    </xf>
    <xf numFmtId="0" fontId="8" fillId="9" borderId="12" xfId="0" applyFont="1" applyFill="1" applyBorder="1" applyProtection="1">
      <protection locked="0"/>
    </xf>
    <xf numFmtId="167" fontId="4" fillId="0" borderId="0" xfId="0" applyNumberFormat="1" applyFont="1"/>
    <xf numFmtId="0" fontId="33" fillId="0" borderId="13" xfId="0" applyFont="1" applyBorder="1"/>
    <xf numFmtId="0" fontId="11" fillId="0" borderId="7" xfId="0" applyFont="1" applyBorder="1"/>
    <xf numFmtId="0" fontId="11" fillId="0" borderId="14" xfId="0" applyFont="1" applyBorder="1"/>
    <xf numFmtId="0" fontId="30" fillId="0" borderId="15" xfId="0" applyFont="1" applyBorder="1"/>
    <xf numFmtId="0" fontId="11" fillId="0" borderId="16" xfId="0" applyFont="1" applyBorder="1"/>
    <xf numFmtId="0" fontId="11" fillId="0" borderId="17" xfId="0" applyFont="1" applyBorder="1"/>
    <xf numFmtId="0" fontId="11" fillId="0" borderId="8" xfId="0" applyFont="1" applyBorder="1"/>
    <xf numFmtId="0" fontId="11" fillId="0" borderId="18" xfId="0" applyFont="1" applyBorder="1"/>
    <xf numFmtId="0" fontId="39" fillId="0" borderId="0" xfId="0" applyFont="1"/>
    <xf numFmtId="3" fontId="37" fillId="0" borderId="0" xfId="0" applyNumberFormat="1" applyFont="1"/>
    <xf numFmtId="3" fontId="0" fillId="0" borderId="0" xfId="0" applyNumberFormat="1"/>
    <xf numFmtId="0" fontId="23" fillId="0" borderId="0" xfId="0" applyFont="1"/>
    <xf numFmtId="43" fontId="1" fillId="0" borderId="0" xfId="4"/>
    <xf numFmtId="0" fontId="40" fillId="0" borderId="0" xfId="0" applyFont="1"/>
    <xf numFmtId="9" fontId="1" fillId="0" borderId="0" xfId="20"/>
    <xf numFmtId="164" fontId="13" fillId="0" borderId="0" xfId="0" applyNumberFormat="1" applyFont="1"/>
    <xf numFmtId="0" fontId="13" fillId="0" borderId="0" xfId="0" applyFont="1"/>
    <xf numFmtId="164" fontId="0" fillId="0" borderId="19" xfId="0" applyNumberFormat="1" applyBorder="1"/>
    <xf numFmtId="164" fontId="0" fillId="0" borderId="5" xfId="0" applyNumberFormat="1" applyBorder="1"/>
    <xf numFmtId="0" fontId="28" fillId="0" borderId="4" xfId="0" applyFont="1" applyBorder="1" applyAlignment="1">
      <alignment wrapText="1"/>
    </xf>
    <xf numFmtId="0" fontId="0" fillId="0" borderId="19" xfId="0" applyBorder="1"/>
    <xf numFmtId="0" fontId="11" fillId="0" borderId="0" xfId="0" applyFont="1" applyAlignment="1">
      <alignment horizontal="center" wrapText="1"/>
    </xf>
    <xf numFmtId="171" fontId="4" fillId="0" borderId="0" xfId="0" applyNumberFormat="1" applyFont="1"/>
    <xf numFmtId="171" fontId="11" fillId="0" borderId="0" xfId="0" applyNumberFormat="1" applyFont="1"/>
    <xf numFmtId="164" fontId="0" fillId="0" borderId="0" xfId="4" applyNumberFormat="1" applyFont="1" applyAlignment="1"/>
    <xf numFmtId="0" fontId="4" fillId="0" borderId="0" xfId="15" applyFont="1" applyAlignment="1">
      <alignment horizontal="left" indent="1"/>
    </xf>
    <xf numFmtId="0" fontId="4" fillId="0" borderId="8" xfId="15" applyFont="1" applyBorder="1" applyAlignment="1">
      <alignment horizontal="left" indent="1"/>
    </xf>
    <xf numFmtId="0" fontId="16" fillId="0" borderId="0" xfId="0" applyFont="1" applyAlignment="1">
      <alignment horizontal="left" indent="1"/>
    </xf>
    <xf numFmtId="0" fontId="16" fillId="0" borderId="7" xfId="0" applyFont="1" applyBorder="1" applyAlignment="1">
      <alignment horizontal="left" indent="2"/>
    </xf>
    <xf numFmtId="0" fontId="16" fillId="0" borderId="8" xfId="0" applyFont="1" applyBorder="1" applyAlignment="1">
      <alignment horizontal="left" indent="2"/>
    </xf>
    <xf numFmtId="167" fontId="4" fillId="4" borderId="0" xfId="4" applyNumberFormat="1" applyFont="1" applyFill="1"/>
    <xf numFmtId="167" fontId="4" fillId="10" borderId="0" xfId="4" applyNumberFormat="1" applyFont="1" applyFill="1"/>
    <xf numFmtId="167" fontId="4" fillId="5" borderId="0" xfId="4" applyNumberFormat="1" applyFont="1" applyFill="1"/>
    <xf numFmtId="167" fontId="4" fillId="6" borderId="0" xfId="4" applyNumberFormat="1" applyFont="1" applyFill="1"/>
    <xf numFmtId="167" fontId="4" fillId="8" borderId="0" xfId="4" applyNumberFormat="1" applyFont="1" applyFill="1"/>
    <xf numFmtId="167" fontId="4" fillId="10" borderId="4" xfId="4" applyNumberFormat="1" applyFont="1" applyFill="1" applyBorder="1"/>
    <xf numFmtId="167" fontId="4" fillId="10" borderId="6" xfId="4" applyNumberFormat="1" applyFont="1" applyFill="1" applyBorder="1"/>
    <xf numFmtId="0" fontId="16" fillId="0" borderId="0" xfId="12" applyFont="1" applyAlignment="1">
      <alignment horizontal="left" wrapText="1" indent="1"/>
    </xf>
    <xf numFmtId="0" fontId="16" fillId="0" borderId="0" xfId="12" applyFont="1" applyAlignment="1">
      <alignment horizontal="left" indent="1"/>
    </xf>
    <xf numFmtId="0" fontId="4" fillId="0" borderId="4" xfId="0" applyFont="1" applyBorder="1"/>
    <xf numFmtId="43" fontId="4" fillId="0" borderId="0" xfId="4" applyFont="1" applyFill="1"/>
    <xf numFmtId="43" fontId="4" fillId="0" borderId="5" xfId="0" applyNumberFormat="1" applyFont="1" applyBorder="1"/>
    <xf numFmtId="43" fontId="4" fillId="11" borderId="0" xfId="0" applyNumberFormat="1" applyFont="1" applyFill="1"/>
    <xf numFmtId="43" fontId="4" fillId="8" borderId="0" xfId="0" applyNumberFormat="1" applyFont="1" applyFill="1"/>
    <xf numFmtId="43" fontId="4" fillId="9" borderId="0" xfId="0" applyNumberFormat="1" applyFont="1" applyFill="1"/>
    <xf numFmtId="43" fontId="4" fillId="6" borderId="0" xfId="0" applyNumberFormat="1" applyFont="1" applyFill="1"/>
    <xf numFmtId="43" fontId="4" fillId="5" borderId="0" xfId="0" applyNumberFormat="1" applyFont="1" applyFill="1"/>
    <xf numFmtId="43" fontId="4" fillId="5" borderId="11" xfId="0" applyNumberFormat="1" applyFont="1" applyFill="1" applyBorder="1"/>
    <xf numFmtId="43" fontId="4" fillId="5" borderId="9" xfId="0" applyNumberFormat="1" applyFont="1" applyFill="1" applyBorder="1"/>
    <xf numFmtId="43" fontId="4" fillId="6" borderId="9" xfId="0" applyNumberFormat="1" applyFont="1" applyFill="1" applyBorder="1"/>
    <xf numFmtId="43" fontId="4" fillId="11" borderId="9" xfId="0" applyNumberFormat="1" applyFont="1" applyFill="1" applyBorder="1"/>
    <xf numFmtId="0" fontId="47" fillId="0" borderId="0" xfId="0" applyFont="1"/>
    <xf numFmtId="0" fontId="5" fillId="0" borderId="4" xfId="14" applyFont="1" applyBorder="1"/>
    <xf numFmtId="43" fontId="8" fillId="0" borderId="0" xfId="4" applyFont="1" applyBorder="1"/>
    <xf numFmtId="167" fontId="4" fillId="0" borderId="0" xfId="4" applyNumberFormat="1" applyFont="1" applyFill="1" applyBorder="1"/>
    <xf numFmtId="167" fontId="8" fillId="0" borderId="4" xfId="4" applyNumberFormat="1" applyFont="1" applyFill="1" applyBorder="1"/>
    <xf numFmtId="164" fontId="4" fillId="0" borderId="7" xfId="4" applyNumberFormat="1" applyFont="1" applyBorder="1" applyAlignment="1">
      <alignment horizontal="left" indent="1"/>
    </xf>
    <xf numFmtId="164" fontId="4" fillId="0" borderId="8" xfId="4" applyNumberFormat="1" applyFont="1" applyBorder="1" applyAlignment="1">
      <alignment horizontal="left" indent="1"/>
    </xf>
    <xf numFmtId="164" fontId="8" fillId="0" borderId="4" xfId="4" applyNumberFormat="1" applyFont="1" applyBorder="1"/>
    <xf numFmtId="43" fontId="4" fillId="0" borderId="0" xfId="4" applyFont="1" applyBorder="1" applyAlignment="1"/>
    <xf numFmtId="0" fontId="4" fillId="5" borderId="6" xfId="0" applyFont="1" applyFill="1" applyBorder="1"/>
    <xf numFmtId="43" fontId="4" fillId="5" borderId="6" xfId="4" applyFont="1" applyFill="1" applyBorder="1"/>
    <xf numFmtId="0" fontId="15" fillId="0" borderId="0" xfId="13" applyFont="1"/>
    <xf numFmtId="0" fontId="35" fillId="10" borderId="0" xfId="0" applyFont="1" applyFill="1"/>
    <xf numFmtId="0" fontId="48" fillId="0" borderId="0" xfId="0" applyFont="1" applyAlignment="1">
      <alignment horizontal="left" indent="1"/>
    </xf>
    <xf numFmtId="0" fontId="48" fillId="0" borderId="4" xfId="0" applyFont="1" applyBorder="1" applyAlignment="1">
      <alignment horizontal="left" indent="1"/>
    </xf>
    <xf numFmtId="0" fontId="49" fillId="0" borderId="0" xfId="0" applyFont="1"/>
    <xf numFmtId="0" fontId="49" fillId="0" borderId="4" xfId="0" applyFont="1" applyBorder="1"/>
    <xf numFmtId="0" fontId="7" fillId="0" borderId="0" xfId="0" applyFont="1" applyAlignment="1">
      <alignment horizontal="left" indent="1"/>
    </xf>
    <xf numFmtId="0" fontId="8" fillId="0" borderId="6" xfId="0" applyFont="1" applyBorder="1"/>
    <xf numFmtId="43" fontId="8" fillId="0" borderId="6" xfId="4" applyFont="1" applyBorder="1"/>
    <xf numFmtId="0" fontId="4" fillId="12" borderId="0" xfId="0" applyFont="1" applyFill="1"/>
    <xf numFmtId="43" fontId="4" fillId="12" borderId="0" xfId="0" applyNumberFormat="1" applyFont="1" applyFill="1"/>
    <xf numFmtId="43" fontId="8" fillId="0" borderId="0" xfId="4" applyFont="1" applyFill="1" applyBorder="1"/>
    <xf numFmtId="0" fontId="4" fillId="12" borderId="10" xfId="0" applyFont="1" applyFill="1" applyBorder="1"/>
    <xf numFmtId="43" fontId="4" fillId="12" borderId="10" xfId="0" applyNumberFormat="1" applyFont="1" applyFill="1" applyBorder="1" applyAlignment="1">
      <alignment horizontal="right"/>
    </xf>
    <xf numFmtId="43" fontId="4" fillId="12" borderId="10" xfId="0" applyNumberFormat="1" applyFont="1" applyFill="1" applyBorder="1"/>
    <xf numFmtId="0" fontId="8" fillId="0" borderId="10" xfId="14" applyFont="1" applyBorder="1"/>
    <xf numFmtId="0" fontId="8" fillId="0" borderId="0" xfId="14" applyFont="1" applyBorder="1"/>
    <xf numFmtId="0" fontId="8" fillId="0" borderId="8" xfId="14" applyFont="1" applyBorder="1"/>
    <xf numFmtId="0" fontId="8" fillId="0" borderId="11" xfId="14" applyFont="1" applyBorder="1" applyAlignment="1">
      <alignment horizontal="left" indent="1"/>
    </xf>
    <xf numFmtId="0" fontId="25" fillId="0" borderId="0" xfId="16" applyFont="1" applyAlignment="1">
      <alignment horizontal="left"/>
    </xf>
    <xf numFmtId="0" fontId="4" fillId="0" borderId="0" xfId="0" applyFont="1" applyAlignment="1">
      <alignment horizontal="centerContinuous"/>
    </xf>
    <xf numFmtId="0" fontId="8" fillId="0" borderId="9" xfId="0" applyFont="1" applyBorder="1"/>
    <xf numFmtId="164" fontId="8" fillId="0" borderId="0" xfId="4" applyNumberFormat="1" applyFont="1" applyAlignment="1">
      <alignment horizontal="right"/>
    </xf>
    <xf numFmtId="164" fontId="4" fillId="0" borderId="0" xfId="4" applyNumberFormat="1" applyFont="1" applyAlignment="1">
      <alignment horizontal="right"/>
    </xf>
    <xf numFmtId="164" fontId="8" fillId="0" borderId="9" xfId="4" applyNumberFormat="1" applyFont="1" applyBorder="1" applyAlignment="1">
      <alignment horizontal="right"/>
    </xf>
    <xf numFmtId="0" fontId="4" fillId="0" borderId="0" xfId="0" applyFont="1" applyAlignment="1">
      <alignment horizontal="right"/>
    </xf>
    <xf numFmtId="165" fontId="4" fillId="0" borderId="0" xfId="0" applyNumberFormat="1" applyFont="1" applyAlignment="1">
      <alignment horizontal="right"/>
    </xf>
    <xf numFmtId="0" fontId="11" fillId="0" borderId="4" xfId="13" applyFont="1" applyBorder="1"/>
    <xf numFmtId="0" fontId="7" fillId="0" borderId="4" xfId="13" applyFont="1" applyBorder="1"/>
    <xf numFmtId="164" fontId="4" fillId="0" borderId="4" xfId="4" applyNumberFormat="1" applyFont="1" applyFill="1" applyBorder="1"/>
    <xf numFmtId="167" fontId="8" fillId="0" borderId="10" xfId="4" applyNumberFormat="1" applyFont="1" applyFill="1" applyBorder="1"/>
    <xf numFmtId="0" fontId="11" fillId="0" borderId="0" xfId="14" applyFont="1"/>
    <xf numFmtId="0" fontId="7" fillId="0" borderId="0" xfId="14" applyFont="1" applyBorder="1"/>
    <xf numFmtId="0" fontId="11" fillId="0" borderId="4" xfId="14" applyFont="1" applyBorder="1"/>
    <xf numFmtId="167" fontId="4" fillId="0" borderId="10" xfId="4" applyNumberFormat="1" applyFont="1" applyFill="1" applyBorder="1"/>
    <xf numFmtId="0" fontId="4" fillId="0" borderId="4" xfId="14" applyFont="1" applyBorder="1"/>
    <xf numFmtId="164" fontId="8" fillId="0" borderId="0" xfId="4" applyNumberFormat="1" applyFont="1" applyFill="1" applyBorder="1"/>
    <xf numFmtId="164" fontId="8" fillId="0" borderId="8" xfId="4" applyNumberFormat="1" applyFont="1" applyFill="1" applyBorder="1"/>
    <xf numFmtId="43" fontId="8" fillId="0" borderId="11" xfId="4" applyFont="1" applyFill="1" applyBorder="1"/>
    <xf numFmtId="0" fontId="8" fillId="5" borderId="11" xfId="0" applyFont="1" applyFill="1" applyBorder="1"/>
    <xf numFmtId="0" fontId="8" fillId="0" borderId="10" xfId="0" applyFont="1" applyBorder="1"/>
    <xf numFmtId="43" fontId="4" fillId="0" borderId="10" xfId="0" applyNumberFormat="1" applyFont="1" applyBorder="1"/>
    <xf numFmtId="0" fontId="8" fillId="7" borderId="11" xfId="0" applyFont="1" applyFill="1" applyBorder="1"/>
    <xf numFmtId="43" fontId="8" fillId="7" borderId="11" xfId="0" applyNumberFormat="1" applyFont="1" applyFill="1" applyBorder="1"/>
    <xf numFmtId="43" fontId="8" fillId="0" borderId="10" xfId="0" applyNumberFormat="1" applyFont="1" applyBorder="1"/>
    <xf numFmtId="0" fontId="30" fillId="9" borderId="1" xfId="0" applyFont="1" applyFill="1" applyBorder="1" applyAlignment="1" applyProtection="1">
      <alignment horizontal="left" indent="2"/>
      <protection locked="0"/>
    </xf>
    <xf numFmtId="43" fontId="8" fillId="4" borderId="0" xfId="4" applyFont="1" applyFill="1"/>
    <xf numFmtId="0" fontId="8" fillId="4" borderId="0" xfId="0" applyFont="1" applyFill="1"/>
    <xf numFmtId="0" fontId="8" fillId="5" borderId="6" xfId="0" applyFont="1" applyFill="1" applyBorder="1"/>
    <xf numFmtId="43" fontId="8" fillId="5" borderId="6" xfId="4" applyFont="1" applyFill="1" applyBorder="1"/>
    <xf numFmtId="0" fontId="8" fillId="6" borderId="0" xfId="0" applyFont="1" applyFill="1"/>
    <xf numFmtId="43" fontId="8" fillId="6" borderId="0" xfId="4" applyFont="1" applyFill="1"/>
    <xf numFmtId="0" fontId="8" fillId="7" borderId="0" xfId="0" applyFont="1" applyFill="1"/>
    <xf numFmtId="43" fontId="8" fillId="7" borderId="0" xfId="4" applyFont="1" applyFill="1"/>
    <xf numFmtId="0" fontId="51" fillId="0" borderId="0" xfId="0" applyFont="1"/>
    <xf numFmtId="0" fontId="52" fillId="10" borderId="0" xfId="0" applyFont="1" applyFill="1"/>
    <xf numFmtId="0" fontId="53" fillId="0" borderId="0" xfId="14" applyFont="1"/>
    <xf numFmtId="0" fontId="53" fillId="0" borderId="0" xfId="0" applyFont="1"/>
    <xf numFmtId="0" fontId="53" fillId="0" borderId="0" xfId="11" applyFont="1"/>
    <xf numFmtId="0" fontId="9" fillId="0" borderId="0" xfId="18" applyFont="1"/>
    <xf numFmtId="169" fontId="11" fillId="0" borderId="0" xfId="0" applyNumberFormat="1" applyFont="1"/>
    <xf numFmtId="0" fontId="52" fillId="0" borderId="0" xfId="0" applyFont="1"/>
    <xf numFmtId="0" fontId="1" fillId="0" borderId="0" xfId="0" applyFont="1"/>
    <xf numFmtId="0" fontId="1" fillId="0" borderId="4" xfId="0" applyFont="1" applyBorder="1"/>
    <xf numFmtId="43" fontId="9" fillId="0" borderId="0" xfId="4" applyFont="1" applyBorder="1"/>
    <xf numFmtId="43" fontId="9" fillId="0" borderId="0" xfId="4" applyFont="1" applyFill="1" applyBorder="1"/>
    <xf numFmtId="171" fontId="9" fillId="0" borderId="0" xfId="0" applyNumberFormat="1" applyFont="1"/>
    <xf numFmtId="167" fontId="30" fillId="0" borderId="0" xfId="0" applyNumberFormat="1" applyFont="1" applyAlignment="1">
      <alignment horizontal="right"/>
    </xf>
    <xf numFmtId="0" fontId="54" fillId="0" borderId="0" xfId="0" applyFont="1"/>
    <xf numFmtId="0" fontId="55" fillId="0" borderId="0" xfId="0" applyFont="1"/>
    <xf numFmtId="2" fontId="51" fillId="0" borderId="0" xfId="0" applyNumberFormat="1" applyFont="1"/>
    <xf numFmtId="170" fontId="52" fillId="0" borderId="0" xfId="0" applyNumberFormat="1" applyFont="1"/>
    <xf numFmtId="167" fontId="52" fillId="0" borderId="0" xfId="0" applyNumberFormat="1" applyFont="1"/>
    <xf numFmtId="43" fontId="52" fillId="0" borderId="0" xfId="0" applyNumberFormat="1" applyFont="1"/>
    <xf numFmtId="0" fontId="53" fillId="0" borderId="0" xfId="18" applyFont="1"/>
    <xf numFmtId="164" fontId="9" fillId="0" borderId="21" xfId="4" applyNumberFormat="1" applyFont="1" applyBorder="1"/>
    <xf numFmtId="164" fontId="9" fillId="0" borderId="6" xfId="4" applyNumberFormat="1" applyFont="1" applyBorder="1"/>
    <xf numFmtId="164" fontId="9" fillId="0" borderId="22" xfId="4" applyNumberFormat="1" applyFont="1" applyBorder="1"/>
    <xf numFmtId="164" fontId="9" fillId="0" borderId="0" xfId="4" applyNumberFormat="1" applyFont="1" applyBorder="1"/>
    <xf numFmtId="164" fontId="9" fillId="0" borderId="4" xfId="4" applyNumberFormat="1" applyFont="1" applyBorder="1"/>
    <xf numFmtId="167" fontId="8" fillId="0" borderId="0" xfId="4" applyNumberFormat="1" applyFont="1" applyFill="1" applyBorder="1"/>
    <xf numFmtId="0" fontId="57" fillId="0" borderId="0" xfId="0" applyFont="1"/>
    <xf numFmtId="0" fontId="54" fillId="10" borderId="0" xfId="0" applyFont="1" applyFill="1"/>
    <xf numFmtId="0" fontId="55" fillId="0" borderId="0" xfId="13" applyFont="1"/>
    <xf numFmtId="0" fontId="55" fillId="0" borderId="0" xfId="14" applyFont="1"/>
    <xf numFmtId="0" fontId="55" fillId="0" borderId="0" xfId="11" applyFont="1"/>
    <xf numFmtId="0" fontId="55" fillId="0" borderId="0" xfId="18" applyFont="1"/>
    <xf numFmtId="0" fontId="53" fillId="13" borderId="0" xfId="13" applyFont="1" applyFill="1"/>
    <xf numFmtId="0" fontId="51" fillId="13" borderId="0" xfId="0" applyFont="1" applyFill="1"/>
    <xf numFmtId="43" fontId="1" fillId="0" borderId="0" xfId="0" applyNumberFormat="1" applyFont="1"/>
    <xf numFmtId="164" fontId="0" fillId="0" borderId="0" xfId="0" applyNumberFormat="1"/>
    <xf numFmtId="0" fontId="9" fillId="14" borderId="1" xfId="0" applyFont="1" applyFill="1" applyBorder="1" applyProtection="1">
      <protection locked="0"/>
    </xf>
    <xf numFmtId="0" fontId="0" fillId="14" borderId="1" xfId="0" applyFill="1" applyBorder="1" applyProtection="1">
      <protection locked="0"/>
    </xf>
    <xf numFmtId="43" fontId="59" fillId="0" borderId="0" xfId="4" applyFont="1"/>
    <xf numFmtId="43" fontId="0" fillId="0" borderId="4" xfId="0" applyNumberFormat="1" applyBorder="1"/>
    <xf numFmtId="0" fontId="16" fillId="0" borderId="0" xfId="12" applyFont="1" applyAlignment="1">
      <alignment horizontal="left" wrapText="1" indent="2"/>
    </xf>
    <xf numFmtId="0" fontId="16" fillId="0" borderId="0" xfId="12" applyFont="1" applyAlignment="1">
      <alignment horizontal="left" indent="2"/>
    </xf>
    <xf numFmtId="164" fontId="9" fillId="0" borderId="23" xfId="4" applyNumberFormat="1" applyFont="1" applyBorder="1"/>
    <xf numFmtId="0" fontId="4" fillId="0" borderId="10" xfId="0" applyFont="1" applyBorder="1"/>
    <xf numFmtId="0" fontId="4" fillId="0" borderId="10" xfId="13" applyFont="1" applyBorder="1"/>
    <xf numFmtId="0" fontId="52" fillId="13" borderId="0" xfId="0" applyFont="1" applyFill="1"/>
    <xf numFmtId="0" fontId="53" fillId="0" borderId="0" xfId="13" applyFont="1"/>
    <xf numFmtId="0" fontId="61" fillId="0" borderId="0" xfId="0" applyFont="1" applyAlignment="1">
      <alignment horizontal="left" indent="1"/>
    </xf>
    <xf numFmtId="164" fontId="51" fillId="0" borderId="0" xfId="4" applyNumberFormat="1" applyFont="1" applyFill="1" applyBorder="1"/>
    <xf numFmtId="0" fontId="62" fillId="0" borderId="0" xfId="13" applyFont="1" applyBorder="1"/>
    <xf numFmtId="0" fontId="62" fillId="0" borderId="0" xfId="13" applyFont="1"/>
    <xf numFmtId="0" fontId="51" fillId="0" borderId="0" xfId="11" applyFont="1" applyBorder="1"/>
    <xf numFmtId="0" fontId="62" fillId="0" borderId="0" xfId="11" applyFont="1" applyBorder="1"/>
    <xf numFmtId="0" fontId="63" fillId="0" borderId="0" xfId="0" applyFont="1"/>
    <xf numFmtId="0" fontId="4" fillId="0" borderId="0" xfId="18" applyFont="1"/>
    <xf numFmtId="0" fontId="8" fillId="15" borderId="5" xfId="0" applyFont="1" applyFill="1" applyBorder="1"/>
    <xf numFmtId="0" fontId="4" fillId="0" borderId="10" xfId="0" applyFont="1" applyBorder="1" applyAlignment="1">
      <alignment horizontal="left" indent="1"/>
    </xf>
    <xf numFmtId="0" fontId="8" fillId="0" borderId="4" xfId="12" applyFont="1" applyBorder="1" applyAlignment="1">
      <alignment horizontal="left" wrapText="1" indent="1"/>
    </xf>
    <xf numFmtId="43" fontId="8" fillId="0" borderId="4" xfId="4" applyFont="1" applyBorder="1"/>
    <xf numFmtId="0" fontId="8" fillId="0" borderId="4" xfId="18" applyFont="1" applyBorder="1"/>
    <xf numFmtId="167" fontId="8" fillId="0" borderId="4" xfId="4" applyNumberFormat="1" applyFont="1" applyFill="1" applyBorder="1" applyAlignment="1">
      <alignment horizontal="right"/>
    </xf>
    <xf numFmtId="0" fontId="4" fillId="0" borderId="8" xfId="11" applyFont="1" applyBorder="1"/>
    <xf numFmtId="167" fontId="4" fillId="0" borderId="8" xfId="4" applyNumberFormat="1" applyFont="1" applyFill="1" applyBorder="1"/>
    <xf numFmtId="0" fontId="4" fillId="0" borderId="8" xfId="0" applyFont="1" applyBorder="1" applyAlignment="1">
      <alignment horizontal="left" indent="1"/>
    </xf>
    <xf numFmtId="164" fontId="4" fillId="0" borderId="8" xfId="4" applyNumberFormat="1" applyFont="1" applyBorder="1"/>
    <xf numFmtId="164" fontId="8" fillId="15" borderId="5" xfId="4" applyNumberFormat="1" applyFont="1" applyFill="1" applyBorder="1"/>
    <xf numFmtId="0" fontId="60" fillId="0" borderId="0" xfId="0" applyFont="1"/>
    <xf numFmtId="0" fontId="4" fillId="16" borderId="9" xfId="0" applyFont="1" applyFill="1" applyBorder="1"/>
    <xf numFmtId="43" fontId="4" fillId="16" borderId="9" xfId="0" applyNumberFormat="1" applyFont="1" applyFill="1" applyBorder="1"/>
    <xf numFmtId="0" fontId="4" fillId="0" borderId="9" xfId="0" applyFont="1" applyBorder="1"/>
    <xf numFmtId="0" fontId="4" fillId="0" borderId="9" xfId="14" applyFont="1" applyBorder="1"/>
    <xf numFmtId="0" fontId="53" fillId="13" borderId="0" xfId="0" applyFont="1" applyFill="1"/>
    <xf numFmtId="0" fontId="66" fillId="13" borderId="0" xfId="0" applyFont="1" applyFill="1"/>
    <xf numFmtId="43" fontId="11" fillId="0" borderId="0" xfId="4" applyFont="1"/>
    <xf numFmtId="167" fontId="11" fillId="0" borderId="0" xfId="0" applyNumberFormat="1" applyFont="1"/>
    <xf numFmtId="167" fontId="11" fillId="0" borderId="0" xfId="4" applyNumberFormat="1" applyFont="1"/>
    <xf numFmtId="43" fontId="4" fillId="14" borderId="10" xfId="4" applyFont="1" applyFill="1" applyBorder="1" applyProtection="1">
      <protection locked="0"/>
    </xf>
    <xf numFmtId="167" fontId="4" fillId="14" borderId="4" xfId="4" applyNumberFormat="1" applyFont="1" applyFill="1" applyBorder="1" applyProtection="1">
      <protection locked="0"/>
    </xf>
    <xf numFmtId="164" fontId="4" fillId="14" borderId="10" xfId="4" applyNumberFormat="1" applyFont="1" applyFill="1" applyBorder="1" applyAlignment="1" applyProtection="1">
      <alignment horizontal="right"/>
      <protection locked="0"/>
    </xf>
    <xf numFmtId="164" fontId="4" fillId="14" borderId="10" xfId="4" applyNumberFormat="1" applyFont="1" applyFill="1" applyBorder="1" applyProtection="1">
      <protection locked="0"/>
    </xf>
    <xf numFmtId="0" fontId="4" fillId="14" borderId="10" xfId="14" applyFont="1" applyFill="1" applyBorder="1" applyProtection="1">
      <protection locked="0"/>
    </xf>
    <xf numFmtId="164" fontId="4" fillId="14" borderId="9" xfId="4" applyNumberFormat="1" applyFont="1" applyFill="1" applyBorder="1" applyProtection="1">
      <protection locked="0"/>
    </xf>
    <xf numFmtId="164" fontId="4" fillId="14" borderId="4" xfId="4" applyNumberFormat="1" applyFont="1" applyFill="1" applyBorder="1" applyProtection="1">
      <protection locked="0"/>
    </xf>
    <xf numFmtId="0" fontId="4" fillId="14" borderId="7" xfId="0" applyFont="1" applyFill="1" applyBorder="1" applyProtection="1">
      <protection locked="0"/>
    </xf>
    <xf numFmtId="0" fontId="4" fillId="14" borderId="9" xfId="0" applyFont="1" applyFill="1" applyBorder="1" applyProtection="1">
      <protection locked="0"/>
    </xf>
    <xf numFmtId="0" fontId="0" fillId="14" borderId="10" xfId="0" applyFill="1" applyBorder="1" applyProtection="1">
      <protection locked="0"/>
    </xf>
    <xf numFmtId="0" fontId="1" fillId="14" borderId="10" xfId="0" applyFont="1" applyFill="1" applyBorder="1" applyProtection="1">
      <protection locked="0"/>
    </xf>
    <xf numFmtId="0" fontId="4" fillId="14" borderId="9" xfId="18" applyFont="1" applyFill="1" applyBorder="1" applyProtection="1">
      <protection locked="0"/>
    </xf>
    <xf numFmtId="0" fontId="4" fillId="14" borderId="10" xfId="18" applyFont="1" applyFill="1" applyBorder="1" applyProtection="1">
      <protection locked="0"/>
    </xf>
    <xf numFmtId="0" fontId="4" fillId="14" borderId="4" xfId="18" applyFont="1" applyFill="1" applyBorder="1" applyProtection="1">
      <protection locked="0"/>
    </xf>
    <xf numFmtId="164" fontId="4" fillId="0" borderId="10" xfId="4" applyNumberFormat="1" applyFont="1" applyFill="1" applyBorder="1" applyAlignment="1" applyProtection="1">
      <alignment horizontal="right"/>
    </xf>
    <xf numFmtId="0" fontId="4" fillId="0" borderId="0" xfId="11" applyFont="1"/>
    <xf numFmtId="172" fontId="4" fillId="14" borderId="9" xfId="14" applyNumberFormat="1" applyFont="1" applyFill="1" applyBorder="1" applyProtection="1">
      <protection locked="0"/>
    </xf>
    <xf numFmtId="172" fontId="4" fillId="14" borderId="0" xfId="11" applyNumberFormat="1" applyFont="1" applyFill="1" applyProtection="1">
      <protection locked="0"/>
    </xf>
    <xf numFmtId="172" fontId="4" fillId="14" borderId="10" xfId="11" applyNumberFormat="1" applyFont="1" applyFill="1" applyBorder="1" applyProtection="1">
      <protection locked="0"/>
    </xf>
    <xf numFmtId="164" fontId="9" fillId="0" borderId="21" xfId="4" applyNumberFormat="1" applyFont="1" applyFill="1" applyBorder="1"/>
    <xf numFmtId="164" fontId="9" fillId="0" borderId="6" xfId="4" applyNumberFormat="1" applyFont="1" applyFill="1" applyBorder="1"/>
    <xf numFmtId="164" fontId="9" fillId="0" borderId="0" xfId="4" applyNumberFormat="1" applyFont="1" applyFill="1" applyBorder="1"/>
    <xf numFmtId="164" fontId="9" fillId="0" borderId="22" xfId="4" applyNumberFormat="1" applyFont="1" applyFill="1" applyBorder="1"/>
    <xf numFmtId="164" fontId="9" fillId="0" borderId="23" xfId="4" applyNumberFormat="1" applyFont="1" applyFill="1" applyBorder="1"/>
    <xf numFmtId="164" fontId="9" fillId="0" borderId="4" xfId="4" applyNumberFormat="1" applyFont="1" applyFill="1" applyBorder="1"/>
    <xf numFmtId="0" fontId="39" fillId="0" borderId="19" xfId="0" applyFont="1" applyBorder="1"/>
    <xf numFmtId="164" fontId="9" fillId="0" borderId="5" xfId="4" applyNumberFormat="1" applyFont="1" applyBorder="1"/>
    <xf numFmtId="164" fontId="9" fillId="0" borderId="19" xfId="4" applyNumberFormat="1" applyFont="1" applyBorder="1"/>
    <xf numFmtId="14" fontId="1" fillId="0" borderId="0" xfId="0" applyNumberFormat="1" applyFont="1"/>
    <xf numFmtId="164" fontId="1" fillId="0" borderId="0" xfId="0" applyNumberFormat="1" applyFont="1"/>
    <xf numFmtId="0" fontId="42" fillId="0" borderId="21" xfId="0" applyFont="1" applyBorder="1"/>
    <xf numFmtId="0" fontId="42" fillId="0" borderId="22" xfId="0" applyFont="1" applyBorder="1"/>
    <xf numFmtId="0" fontId="42" fillId="0" borderId="23" xfId="0" applyFont="1" applyBorder="1"/>
    <xf numFmtId="0" fontId="41" fillId="0" borderId="21" xfId="0" applyFont="1" applyBorder="1"/>
    <xf numFmtId="0" fontId="41" fillId="0" borderId="6" xfId="0" applyFont="1" applyBorder="1"/>
    <xf numFmtId="0" fontId="39" fillId="0" borderId="6" xfId="0" applyFont="1" applyBorder="1"/>
    <xf numFmtId="0" fontId="41" fillId="0" borderId="24" xfId="0" applyFont="1" applyBorder="1"/>
    <xf numFmtId="0" fontId="42" fillId="0" borderId="19" xfId="0" applyFont="1" applyBorder="1"/>
    <xf numFmtId="0" fontId="39" fillId="0" borderId="21" xfId="0" applyFont="1" applyBorder="1"/>
    <xf numFmtId="0" fontId="39" fillId="0" borderId="24" xfId="0" applyFont="1" applyBorder="1"/>
    <xf numFmtId="0" fontId="0" fillId="0" borderId="23" xfId="0" applyBorder="1"/>
    <xf numFmtId="0" fontId="51" fillId="0" borderId="0" xfId="0" applyFont="1" applyAlignment="1">
      <alignment horizontal="right"/>
    </xf>
    <xf numFmtId="0" fontId="51" fillId="0" borderId="0" xfId="13" applyFont="1" applyBorder="1"/>
    <xf numFmtId="1" fontId="62" fillId="0" borderId="0" xfId="13" applyNumberFormat="1" applyFont="1" applyBorder="1"/>
    <xf numFmtId="0" fontId="52" fillId="0" borderId="0" xfId="13" applyFont="1" applyBorder="1"/>
    <xf numFmtId="0" fontId="52" fillId="0" borderId="0" xfId="14" applyFont="1" applyBorder="1"/>
    <xf numFmtId="0" fontId="53" fillId="0" borderId="0" xfId="14" applyFont="1" applyBorder="1"/>
    <xf numFmtId="0" fontId="51" fillId="0" borderId="0" xfId="0" applyFont="1" applyAlignment="1">
      <alignment horizontal="left" indent="1"/>
    </xf>
    <xf numFmtId="0" fontId="52" fillId="0" borderId="0" xfId="11" applyFont="1" applyBorder="1"/>
    <xf numFmtId="0" fontId="53" fillId="0" borderId="0" xfId="11" applyFont="1" applyBorder="1"/>
    <xf numFmtId="43" fontId="51" fillId="0" borderId="0" xfId="4" applyFont="1" applyBorder="1"/>
    <xf numFmtId="0" fontId="69" fillId="0" borderId="0" xfId="15" applyFont="1"/>
    <xf numFmtId="164" fontId="51" fillId="0" borderId="0" xfId="4" applyNumberFormat="1" applyFont="1" applyFill="1" applyBorder="1" applyAlignment="1">
      <alignment horizontal="right"/>
    </xf>
    <xf numFmtId="0" fontId="62" fillId="0" borderId="0" xfId="18" applyFont="1"/>
    <xf numFmtId="0" fontId="51" fillId="0" borderId="0" xfId="18" applyFont="1"/>
    <xf numFmtId="164" fontId="70" fillId="0" borderId="6" xfId="4" applyNumberFormat="1" applyFont="1" applyFill="1" applyBorder="1"/>
    <xf numFmtId="164" fontId="70" fillId="0" borderId="24" xfId="4" applyNumberFormat="1" applyFont="1" applyFill="1" applyBorder="1"/>
    <xf numFmtId="164" fontId="70" fillId="0" borderId="0" xfId="4" applyNumberFormat="1" applyFont="1" applyBorder="1"/>
    <xf numFmtId="164" fontId="70" fillId="0" borderId="25" xfId="4" applyNumberFormat="1" applyFont="1" applyBorder="1"/>
    <xf numFmtId="164" fontId="70" fillId="0" borderId="0" xfId="4" applyNumberFormat="1" applyFont="1" applyFill="1" applyBorder="1"/>
    <xf numFmtId="164" fontId="70" fillId="0" borderId="25" xfId="4" applyNumberFormat="1" applyFont="1" applyFill="1" applyBorder="1"/>
    <xf numFmtId="164" fontId="70" fillId="0" borderId="4" xfId="4" applyNumberFormat="1" applyFont="1" applyFill="1" applyBorder="1"/>
    <xf numFmtId="164" fontId="70" fillId="0" borderId="26" xfId="4" applyNumberFormat="1" applyFont="1" applyFill="1" applyBorder="1"/>
    <xf numFmtId="164" fontId="55" fillId="0" borderId="5" xfId="0" applyNumberFormat="1" applyFont="1" applyBorder="1"/>
    <xf numFmtId="164" fontId="55" fillId="0" borderId="20" xfId="0" applyNumberFormat="1" applyFont="1" applyBorder="1"/>
    <xf numFmtId="164" fontId="70" fillId="0" borderId="6" xfId="4" applyNumberFormat="1" applyFont="1" applyBorder="1"/>
    <xf numFmtId="164" fontId="70" fillId="0" borderId="24" xfId="4" applyNumberFormat="1" applyFont="1" applyBorder="1"/>
    <xf numFmtId="164" fontId="70" fillId="0" borderId="4" xfId="4" applyNumberFormat="1" applyFont="1" applyBorder="1"/>
    <xf numFmtId="164" fontId="70" fillId="0" borderId="26" xfId="4" applyNumberFormat="1" applyFont="1" applyBorder="1"/>
    <xf numFmtId="164" fontId="70" fillId="0" borderId="5" xfId="4" applyNumberFormat="1" applyFont="1" applyBorder="1"/>
    <xf numFmtId="164" fontId="70" fillId="0" borderId="20" xfId="4" applyNumberFormat="1" applyFont="1" applyBorder="1"/>
    <xf numFmtId="0" fontId="34" fillId="0" borderId="0" xfId="0" applyFont="1" applyAlignment="1">
      <alignment wrapText="1"/>
    </xf>
    <xf numFmtId="0" fontId="4" fillId="0" borderId="0" xfId="0" applyFont="1" applyAlignment="1">
      <alignment horizontal="left" wrapText="1"/>
    </xf>
    <xf numFmtId="0" fontId="2" fillId="0" borderId="0" xfId="0" applyFont="1" applyAlignment="1" applyProtection="1">
      <alignment horizontal="left" vertical="center" wrapText="1"/>
      <protection locked="0"/>
    </xf>
    <xf numFmtId="0" fontId="4" fillId="0" borderId="0" xfId="13" applyFont="1" applyBorder="1" applyAlignment="1">
      <alignment horizontal="left" vertical="top" wrapText="1"/>
    </xf>
    <xf numFmtId="0" fontId="4" fillId="0" borderId="0" xfId="14" applyFont="1" applyBorder="1" applyAlignment="1">
      <alignment horizontal="left" vertical="top" wrapText="1"/>
    </xf>
    <xf numFmtId="0" fontId="26" fillId="0" borderId="0" xfId="11" applyFont="1" applyBorder="1" applyAlignment="1">
      <alignment horizontal="left"/>
    </xf>
    <xf numFmtId="0" fontId="58" fillId="0" borderId="0" xfId="0" applyFont="1" applyAlignment="1">
      <alignment wrapText="1"/>
    </xf>
    <xf numFmtId="0" fontId="0" fillId="0" borderId="0" xfId="0"/>
  </cellXfs>
  <cellStyles count="21">
    <cellStyle name="2x indented GHG Textfiels" xfId="1" xr:uid="{00000000-0005-0000-0000-000000000000}"/>
    <cellStyle name="5x indented GHG Textfiels" xfId="2" xr:uid="{00000000-0005-0000-0000-000001000000}"/>
    <cellStyle name="Bold GHG Numbers (0.00)" xfId="3" xr:uid="{00000000-0005-0000-0000-000002000000}"/>
    <cellStyle name="Comma" xfId="4" builtinId="3"/>
    <cellStyle name="Euro" xfId="5" xr:uid="{00000000-0005-0000-0000-000004000000}"/>
    <cellStyle name="Headline" xfId="6" xr:uid="{00000000-0005-0000-0000-000005000000}"/>
    <cellStyle name="Normal" xfId="0" builtinId="0"/>
    <cellStyle name="Normal GHG Numbers (0.00)" xfId="7" xr:uid="{00000000-0005-0000-0000-000007000000}"/>
    <cellStyle name="Normal GHG Textfiels Bold" xfId="8" xr:uid="{00000000-0005-0000-0000-000008000000}"/>
    <cellStyle name="Normal GHG whole table" xfId="9" xr:uid="{00000000-0005-0000-0000-000009000000}"/>
    <cellStyle name="Normal GHG-Shade" xfId="10" xr:uid="{00000000-0005-0000-0000-00000A000000}"/>
    <cellStyle name="Normal_ag" xfId="11" xr:uid="{00000000-0005-0000-0000-00000B000000}"/>
    <cellStyle name="Normal_Book1" xfId="12" xr:uid="{00000000-0005-0000-0000-00000D000000}"/>
    <cellStyle name="Normal_Coal Module_10.9" xfId="13" xr:uid="{00000000-0005-0000-0000-00000F000000}"/>
    <cellStyle name="Normal_Coal Module_7.23" xfId="14" xr:uid="{00000000-0005-0000-0000-000010000000}"/>
    <cellStyle name="Normal_Energy Module2" xfId="15" xr:uid="{00000000-0005-0000-0000-000011000000}"/>
    <cellStyle name="Normal_mobile96" xfId="16" xr:uid="{00000000-0005-0000-0000-000012000000}"/>
    <cellStyle name="Normal_State Transportation Module 02.13.02" xfId="17" xr:uid="{00000000-0005-0000-0000-000013000000}"/>
    <cellStyle name="Normal_Waste Module 10.23.02" xfId="18" xr:uid="{00000000-0005-0000-0000-000014000000}"/>
    <cellStyle name="Pattern" xfId="19" xr:uid="{00000000-0005-0000-0000-000015000000}"/>
    <cellStyle name="Percent" xfId="20" builtinId="5"/>
  </cellStyles>
  <dxfs count="0"/>
  <tableStyles count="0" defaultTableStyle="TableStyleMedium2" defaultPivotStyle="PivotStyleLight16"/>
  <colors>
    <mruColors>
      <color rgb="FFFFFF99"/>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10.xml><?xml version="1.0" encoding="utf-8"?>
<ax:ocx xmlns:ax="http://schemas.microsoft.com/office/2006/activeX" xmlns:r="http://schemas.openxmlformats.org/officeDocument/2006/relationships" ax:classid="{D7053240-CE69-11CD-A777-00DD01143C57}" ax:persistence="persistStreamInit" r:id="rId1"/>
</file>

<file path=xl/activeX/activeX11.xml><?xml version="1.0" encoding="utf-8"?>
<ax:ocx xmlns:ax="http://schemas.microsoft.com/office/2006/activeX" xmlns:r="http://schemas.openxmlformats.org/officeDocument/2006/relationships" ax:classid="{D7053240-CE69-11CD-A777-00DD01143C57}" ax:persistence="persistStreamInit" r:id="rId1"/>
</file>

<file path=xl/activeX/activeX12.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activeX/activeX5.xml><?xml version="1.0" encoding="utf-8"?>
<ax:ocx xmlns:ax="http://schemas.microsoft.com/office/2006/activeX" xmlns:r="http://schemas.openxmlformats.org/officeDocument/2006/relationships" ax:classid="{D7053240-CE69-11CD-A777-00DD01143C57}" ax:persistence="persistStreamInit" r:id="rId1"/>
</file>

<file path=xl/activeX/activeX6.xml><?xml version="1.0" encoding="utf-8"?>
<ax:ocx xmlns:ax="http://schemas.microsoft.com/office/2006/activeX" xmlns:r="http://schemas.openxmlformats.org/officeDocument/2006/relationships" ax:classid="{D7053240-CE69-11CD-A777-00DD01143C57}" ax:persistence="persistStreamInit" r:id="rId1"/>
</file>

<file path=xl/activeX/activeX7.xml><?xml version="1.0" encoding="utf-8"?>
<ax:ocx xmlns:ax="http://schemas.microsoft.com/office/2006/activeX" xmlns:r="http://schemas.openxmlformats.org/officeDocument/2006/relationships" ax:classid="{D7053240-CE69-11CD-A777-00DD01143C57}" ax:persistence="persistStreamInit" r:id="rId1"/>
</file>

<file path=xl/activeX/activeX8.xml><?xml version="1.0" encoding="utf-8"?>
<ax:ocx xmlns:ax="http://schemas.microsoft.com/office/2006/activeX" xmlns:r="http://schemas.openxmlformats.org/officeDocument/2006/relationships" ax:classid="{D7053240-CE69-11CD-A777-00DD01143C57}" ax:persistence="persistStreamInit" r:id="rId1"/>
</file>

<file path=xl/activeX/activeX9.xml><?xml version="1.0" encoding="utf-8"?>
<ax:ocx xmlns:ax="http://schemas.microsoft.com/office/2006/activeX" xmlns:r="http://schemas.openxmlformats.org/officeDocument/2006/relationships" ax:classid="{D7053240-CE69-11CD-A777-00DD01143C57}" ax:persistence="persistStreamInit" r:id="rId1"/>
</file>

<file path=xl/charts/_rels/chart2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_rels/chart34.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CO2FFC!$AA$40</c:f>
          <c:strCache>
            <c:ptCount val="1"/>
            <c:pt idx="0">
              <c:v>Emissions by Fuel Type, 1990-2020</c:v>
            </c:pt>
          </c:strCache>
        </c:strRef>
      </c:tx>
      <c:layout>
        <c:manualLayout>
          <c:xMode val="edge"/>
          <c:yMode val="edge"/>
          <c:x val="0.3448275557774298"/>
          <c:y val="1.7123313800891167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6488521421139797E-2"/>
          <c:y val="0.26369907109353447"/>
          <c:w val="0.88627003133599702"/>
          <c:h val="0.48972684631656399"/>
        </c:manualLayout>
      </c:layout>
      <c:lineChart>
        <c:grouping val="standard"/>
        <c:varyColors val="0"/>
        <c:ser>
          <c:idx val="0"/>
          <c:order val="0"/>
          <c:tx>
            <c:strRef>
              <c:f>CO2FFC!$B$32</c:f>
              <c:strCache>
                <c:ptCount val="1"/>
                <c:pt idx="0">
                  <c:v>Coal</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[0]!ChartRange_CO2FFC_Coal</c:f>
              <c:numCache>
                <c:formatCode>_(* #,##0.00_);_(* \(#,##0.00\);_(* "-"??_);_(@_)</c:formatCode>
                <c:ptCount val="31"/>
                <c:pt idx="0">
                  <c:v>64.150403035044562</c:v>
                </c:pt>
                <c:pt idx="1">
                  <c:v>65.433449990958422</c:v>
                </c:pt>
                <c:pt idx="2">
                  <c:v>59.585353794020548</c:v>
                </c:pt>
                <c:pt idx="3">
                  <c:v>70.507453344745826</c:v>
                </c:pt>
                <c:pt idx="4">
                  <c:v>72.284297646723786</c:v>
                </c:pt>
                <c:pt idx="5">
                  <c:v>72.182889010385438</c:v>
                </c:pt>
                <c:pt idx="6">
                  <c:v>80.57361410252166</c:v>
                </c:pt>
                <c:pt idx="7">
                  <c:v>85.474226780048951</c:v>
                </c:pt>
                <c:pt idx="8">
                  <c:v>83.683876062601243</c:v>
                </c:pt>
                <c:pt idx="9">
                  <c:v>84.911345866200776</c:v>
                </c:pt>
                <c:pt idx="10">
                  <c:v>91.029780890876538</c:v>
                </c:pt>
                <c:pt idx="11">
                  <c:v>90.066284546668001</c:v>
                </c:pt>
                <c:pt idx="12">
                  <c:v>91.45530143372801</c:v>
                </c:pt>
                <c:pt idx="13">
                  <c:v>93.901733829933519</c:v>
                </c:pt>
                <c:pt idx="14">
                  <c:v>100.33669805786246</c:v>
                </c:pt>
                <c:pt idx="15">
                  <c:v>98.253690741097131</c:v>
                </c:pt>
                <c:pt idx="16">
                  <c:v>97.81083550373134</c:v>
                </c:pt>
                <c:pt idx="17">
                  <c:v>101.71427113098424</c:v>
                </c:pt>
                <c:pt idx="18">
                  <c:v>103.13045670446343</c:v>
                </c:pt>
                <c:pt idx="19">
                  <c:v>95.277141168955296</c:v>
                </c:pt>
                <c:pt idx="20">
                  <c:v>99.389951686055511</c:v>
                </c:pt>
                <c:pt idx="21">
                  <c:v>96.528809926290862</c:v>
                </c:pt>
                <c:pt idx="22">
                  <c:v>88.559094449557335</c:v>
                </c:pt>
                <c:pt idx="23">
                  <c:v>94.003353735589798</c:v>
                </c:pt>
                <c:pt idx="24">
                  <c:v>92.819228850305848</c:v>
                </c:pt>
                <c:pt idx="25">
                  <c:v>78.537011302270642</c:v>
                </c:pt>
                <c:pt idx="26">
                  <c:v>64.526667440864799</c:v>
                </c:pt>
                <c:pt idx="27">
                  <c:v>62.88825677207533</c:v>
                </c:pt>
                <c:pt idx="28">
                  <c:v>64.809393679207261</c:v>
                </c:pt>
                <c:pt idx="29">
                  <c:v>53.84042794067264</c:v>
                </c:pt>
                <c:pt idx="30">
                  <c:v>34.715112363258861</c:v>
                </c:pt>
              </c:numCache>
            </c:numRef>
          </c:val>
          <c:smooth val="0"/>
          <c:extLst>
            <c:ext xmlns:c16="http://schemas.microsoft.com/office/drawing/2014/chart" uri="{C3380CC4-5D6E-409C-BE32-E72D297353CC}">
              <c16:uniqueId val="{00000000-E052-4E45-A80A-EE1F5C27BA01}"/>
            </c:ext>
          </c:extLst>
        </c:ser>
        <c:ser>
          <c:idx val="1"/>
          <c:order val="1"/>
          <c:tx>
            <c:strRef>
              <c:f>CO2FFC!$B$33</c:f>
              <c:strCache>
                <c:ptCount val="1"/>
                <c:pt idx="0">
                  <c:v>Petroleum</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[0]!ChartRange_CO2FFC_Petroleum</c:f>
              <c:numCache>
                <c:formatCode>_(* #,##0.00_);_(* \(#,##0.00\);_(* "-"??_);_(@_)</c:formatCode>
                <c:ptCount val="31"/>
                <c:pt idx="0">
                  <c:v>77.745980200576611</c:v>
                </c:pt>
                <c:pt idx="1">
                  <c:v>73.544451628334755</c:v>
                </c:pt>
                <c:pt idx="2">
                  <c:v>75.642455695713579</c:v>
                </c:pt>
                <c:pt idx="3">
                  <c:v>77.956480152110089</c:v>
                </c:pt>
                <c:pt idx="4">
                  <c:v>78.002146868581633</c:v>
                </c:pt>
                <c:pt idx="5">
                  <c:v>78.959089681965324</c:v>
                </c:pt>
                <c:pt idx="6">
                  <c:v>82.581133372974449</c:v>
                </c:pt>
                <c:pt idx="7">
                  <c:v>82.37896311183323</c:v>
                </c:pt>
                <c:pt idx="8">
                  <c:v>82.395119238212516</c:v>
                </c:pt>
                <c:pt idx="9">
                  <c:v>89.562507121227526</c:v>
                </c:pt>
                <c:pt idx="10">
                  <c:v>88.508272882491923</c:v>
                </c:pt>
                <c:pt idx="11">
                  <c:v>86.626079816749638</c:v>
                </c:pt>
                <c:pt idx="12">
                  <c:v>84.428296024433834</c:v>
                </c:pt>
                <c:pt idx="13">
                  <c:v>88.287454320549514</c:v>
                </c:pt>
                <c:pt idx="14">
                  <c:v>90.080715605460668</c:v>
                </c:pt>
                <c:pt idx="15">
                  <c:v>96.515182561038657</c:v>
                </c:pt>
                <c:pt idx="16">
                  <c:v>93.293625360721364</c:v>
                </c:pt>
                <c:pt idx="17">
                  <c:v>92.083926685270512</c:v>
                </c:pt>
                <c:pt idx="18">
                  <c:v>88.140138749099236</c:v>
                </c:pt>
                <c:pt idx="19">
                  <c:v>83.150871059106379</c:v>
                </c:pt>
                <c:pt idx="20">
                  <c:v>83.011523052802232</c:v>
                </c:pt>
                <c:pt idx="21">
                  <c:v>81.507703638937514</c:v>
                </c:pt>
                <c:pt idx="22">
                  <c:v>78.497255342555533</c:v>
                </c:pt>
                <c:pt idx="23">
                  <c:v>80.79428955606781</c:v>
                </c:pt>
                <c:pt idx="24">
                  <c:v>82.578163368364159</c:v>
                </c:pt>
                <c:pt idx="25">
                  <c:v>85.932258781754086</c:v>
                </c:pt>
                <c:pt idx="26">
                  <c:v>86.214205351571664</c:v>
                </c:pt>
                <c:pt idx="27">
                  <c:v>86.35574611037552</c:v>
                </c:pt>
                <c:pt idx="28">
                  <c:v>86.454736957762691</c:v>
                </c:pt>
                <c:pt idx="29">
                  <c:v>85.524094094297013</c:v>
                </c:pt>
                <c:pt idx="30">
                  <c:v>74.398047557867528</c:v>
                </c:pt>
              </c:numCache>
            </c:numRef>
          </c:val>
          <c:smooth val="0"/>
          <c:extLst>
            <c:ext xmlns:c16="http://schemas.microsoft.com/office/drawing/2014/chart" uri="{C3380CC4-5D6E-409C-BE32-E72D297353CC}">
              <c16:uniqueId val="{00000001-E052-4E45-A80A-EE1F5C27BA01}"/>
            </c:ext>
          </c:extLst>
        </c:ser>
        <c:ser>
          <c:idx val="2"/>
          <c:order val="2"/>
          <c:tx>
            <c:strRef>
              <c:f>CO2FFC!$B$34</c:f>
              <c:strCache>
                <c:ptCount val="1"/>
                <c:pt idx="0">
                  <c:v>Natural Gas</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[0]!ChartRange_CO2FFC_Natural_Gas</c:f>
              <c:numCache>
                <c:formatCode>_(* #,##0.00_);_(* \(#,##0.00\);_(* "-"??_);_(@_)</c:formatCode>
                <c:ptCount val="31"/>
                <c:pt idx="0">
                  <c:v>50.104904063718372</c:v>
                </c:pt>
                <c:pt idx="1">
                  <c:v>52.453032507084686</c:v>
                </c:pt>
                <c:pt idx="2">
                  <c:v>52.70342507537589</c:v>
                </c:pt>
                <c:pt idx="3">
                  <c:v>54.966453595610552</c:v>
                </c:pt>
                <c:pt idx="4">
                  <c:v>54.579872283706671</c:v>
                </c:pt>
                <c:pt idx="5">
                  <c:v>57.393180346666675</c:v>
                </c:pt>
                <c:pt idx="6">
                  <c:v>59.597615350797213</c:v>
                </c:pt>
                <c:pt idx="7">
                  <c:v>57.44808639316485</c:v>
                </c:pt>
                <c:pt idx="8">
                  <c:v>50.937256668407947</c:v>
                </c:pt>
                <c:pt idx="9">
                  <c:v>53.451539123030422</c:v>
                </c:pt>
                <c:pt idx="10">
                  <c:v>55.096060216216237</c:v>
                </c:pt>
                <c:pt idx="11">
                  <c:v>50.860532855238006</c:v>
                </c:pt>
                <c:pt idx="12">
                  <c:v>55.766820257558003</c:v>
                </c:pt>
                <c:pt idx="13">
                  <c:v>53.200283891877376</c:v>
                </c:pt>
                <c:pt idx="14">
                  <c:v>50.700631933850346</c:v>
                </c:pt>
                <c:pt idx="15">
                  <c:v>51.613519863471907</c:v>
                </c:pt>
                <c:pt idx="16">
                  <c:v>47.623479728550777</c:v>
                </c:pt>
                <c:pt idx="17">
                  <c:v>51.410244364720796</c:v>
                </c:pt>
                <c:pt idx="18">
                  <c:v>53.289793809699866</c:v>
                </c:pt>
                <c:pt idx="19">
                  <c:v>50.949608176307258</c:v>
                </c:pt>
                <c:pt idx="20">
                  <c:v>51.175443037983065</c:v>
                </c:pt>
                <c:pt idx="21">
                  <c:v>52.423108988473494</c:v>
                </c:pt>
                <c:pt idx="22">
                  <c:v>49.91225887444002</c:v>
                </c:pt>
                <c:pt idx="23">
                  <c:v>56.405853625785767</c:v>
                </c:pt>
                <c:pt idx="24">
                  <c:v>58.752580453855096</c:v>
                </c:pt>
                <c:pt idx="25">
                  <c:v>53.625936605732434</c:v>
                </c:pt>
                <c:pt idx="26">
                  <c:v>55.415918728841817</c:v>
                </c:pt>
                <c:pt idx="27">
                  <c:v>54.873738599752713</c:v>
                </c:pt>
                <c:pt idx="28">
                  <c:v>59.80331902208458</c:v>
                </c:pt>
                <c:pt idx="29">
                  <c:v>62.48262566029868</c:v>
                </c:pt>
                <c:pt idx="30">
                  <c:v>61.163445048361815</c:v>
                </c:pt>
              </c:numCache>
            </c:numRef>
          </c:val>
          <c:smooth val="0"/>
          <c:extLst>
            <c:ext xmlns:c16="http://schemas.microsoft.com/office/drawing/2014/chart" uri="{C3380CC4-5D6E-409C-BE32-E72D297353CC}">
              <c16:uniqueId val="{00000002-E052-4E45-A80A-EE1F5C27BA01}"/>
            </c:ext>
          </c:extLst>
        </c:ser>
        <c:ser>
          <c:idx val="3"/>
          <c:order val="3"/>
          <c:tx>
            <c:strRef>
              <c:f>CO2FFC!$B$35</c:f>
              <c:strCache>
                <c:ptCount val="1"/>
                <c:pt idx="0">
                  <c:v>Other</c:v>
                </c:pt>
              </c:strCache>
            </c:strRef>
          </c:tx>
          <c:spPr>
            <a:ln w="12700">
              <a:solidFill>
                <a:srgbClr val="008000"/>
              </a:solidFill>
              <a:prstDash val="solid"/>
            </a:ln>
          </c:spPr>
          <c:marker>
            <c:symbol val="x"/>
            <c:size val="5"/>
            <c:spPr>
              <a:noFill/>
              <a:ln>
                <a:solidFill>
                  <a:srgbClr val="0080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[0]!ChartRange_CO2FFC_Other</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3-E052-4E45-A80A-EE1F5C27BA01}"/>
            </c:ext>
          </c:extLst>
        </c:ser>
        <c:ser>
          <c:idx val="4"/>
          <c:order val="4"/>
          <c:tx>
            <c:strRef>
              <c:f>CO2FFC!$B$36</c:f>
              <c:strCache>
                <c:ptCount val="1"/>
                <c:pt idx="0">
                  <c:v>Additional CO2 Emissions</c:v>
                </c:pt>
              </c:strCache>
            </c:strRef>
          </c:tx>
          <c:spPr>
            <a:ln w="12700"/>
          </c:spPr>
          <c:marker>
            <c:spPr>
              <a:ln w="12700"/>
            </c:spPr>
          </c:marker>
          <c:val>
            <c:numRef>
              <c:f>CO2FFC!$C$36:$AF$36</c:f>
              <c:numCache>
                <c:formatCode>_(* #,##0.00_);_(* \(#,##0.00\);_(* "-"??_);_(@_)</c:formatCode>
                <c:ptCount val="30"/>
              </c:numCache>
            </c:numRef>
          </c:val>
          <c:smooth val="0"/>
          <c:extLst>
            <c:ext xmlns:c16="http://schemas.microsoft.com/office/drawing/2014/chart" uri="{C3380CC4-5D6E-409C-BE32-E72D297353CC}">
              <c16:uniqueId val="{00000003-BC76-4ED9-A2CA-117268BAE59B}"/>
            </c:ext>
          </c:extLst>
        </c:ser>
        <c:dLbls>
          <c:showLegendKey val="0"/>
          <c:showVal val="0"/>
          <c:showCatName val="0"/>
          <c:showSerName val="0"/>
          <c:showPercent val="0"/>
          <c:showBubbleSize val="0"/>
        </c:dLbls>
        <c:marker val="1"/>
        <c:smooth val="0"/>
        <c:axId val="217126648"/>
        <c:axId val="217126256"/>
      </c:lineChart>
      <c:catAx>
        <c:axId val="217126648"/>
        <c:scaling>
          <c:orientation val="minMax"/>
        </c:scaling>
        <c:delete val="0"/>
        <c:axPos val="b"/>
        <c:title>
          <c:tx>
            <c:rich>
              <a:bodyPr/>
              <a:lstStyle/>
              <a:p>
                <a:pPr>
                  <a:defRPr sz="900" b="1" i="0" u="none" strike="noStrike" baseline="0">
                    <a:solidFill>
                      <a:srgbClr val="000000"/>
                    </a:solidFill>
                    <a:latin typeface="Comic Sans MS"/>
                    <a:ea typeface="Comic Sans MS"/>
                    <a:cs typeface="Comic Sans MS"/>
                  </a:defRPr>
                </a:pPr>
                <a:r>
                  <a:rPr lang="en-US"/>
                  <a:t>Year</a:t>
                </a:r>
              </a:p>
            </c:rich>
          </c:tx>
          <c:layout>
            <c:manualLayout>
              <c:xMode val="edge"/>
              <c:yMode val="edge"/>
              <c:x val="0.51600986836299634"/>
              <c:y val="0.8904123176463407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Comic Sans MS"/>
                <a:ea typeface="Comic Sans MS"/>
                <a:cs typeface="Comic Sans MS"/>
              </a:defRPr>
            </a:pPr>
            <a:endParaRPr lang="en-US"/>
          </a:p>
        </c:txPr>
        <c:crossAx val="217126256"/>
        <c:crosses val="autoZero"/>
        <c:auto val="1"/>
        <c:lblAlgn val="ctr"/>
        <c:lblOffset val="100"/>
        <c:tickLblSkip val="1"/>
        <c:tickMarkSkip val="1"/>
        <c:noMultiLvlLbl val="0"/>
      </c:catAx>
      <c:valAx>
        <c:axId val="217126256"/>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US" sz="900" b="1" i="0" u="none" strike="noStrike" baseline="0">
                    <a:solidFill>
                      <a:srgbClr val="000000"/>
                    </a:solidFill>
                    <a:latin typeface="Comic Sans MS"/>
                  </a:rPr>
                  <a:t>Emissions (MMTCO</a:t>
                </a:r>
                <a:r>
                  <a:rPr lang="en-US" sz="900" b="1" i="0" u="none" strike="noStrike" baseline="-25000">
                    <a:solidFill>
                      <a:srgbClr val="000000"/>
                    </a:solidFill>
                    <a:latin typeface="Comic Sans MS"/>
                  </a:rPr>
                  <a:t>2</a:t>
                </a:r>
                <a:r>
                  <a:rPr lang="en-US" sz="900" b="1" i="0" u="none" strike="noStrike" baseline="0">
                    <a:solidFill>
                      <a:srgbClr val="000000"/>
                    </a:solidFill>
                    <a:latin typeface="Comic Sans MS"/>
                  </a:rPr>
                  <a:t>E)</a:t>
                </a:r>
              </a:p>
            </c:rich>
          </c:tx>
          <c:layout>
            <c:manualLayout>
              <c:xMode val="edge"/>
              <c:yMode val="edge"/>
              <c:x val="6.1576416780755429E-3"/>
              <c:y val="0.28424700909479339"/>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omic Sans MS"/>
                <a:ea typeface="Comic Sans MS"/>
                <a:cs typeface="Comic Sans MS"/>
              </a:defRPr>
            </a:pPr>
            <a:endParaRPr lang="en-US"/>
          </a:p>
        </c:txPr>
        <c:crossAx val="217126648"/>
        <c:crosses val="autoZero"/>
        <c:crossBetween val="between"/>
      </c:valAx>
      <c:spPr>
        <a:noFill/>
        <a:ln w="25400">
          <a:noFill/>
        </a:ln>
      </c:spPr>
    </c:plotArea>
    <c:legend>
      <c:legendPos val="t"/>
      <c:overlay val="0"/>
      <c:spPr>
        <a:solidFill>
          <a:srgbClr val="FFFFFF"/>
        </a:solidFill>
        <a:ln w="25400">
          <a:noFill/>
        </a:ln>
      </c:spPr>
      <c:txPr>
        <a:bodyPr/>
        <a:lstStyle/>
        <a:p>
          <a:pPr>
            <a:defRPr sz="84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Combustion'!$BN$11</c:f>
          <c:strCache>
            <c:ptCount val="1"/>
            <c:pt idx="0">
              <c:v>Nitrous Oxide Emissions from Mobile Sources, by Mode/Vehicle Type, 1990-2020</c:v>
            </c:pt>
          </c:strCache>
        </c:strRef>
      </c:tx>
      <c:layout>
        <c:manualLayout>
          <c:xMode val="edge"/>
          <c:yMode val="edge"/>
          <c:x val="0.18024713931509548"/>
          <c:y val="3.4482836451340385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7.6543302159652493E-2"/>
          <c:y val="0.23197527670588738"/>
          <c:w val="0.72839593990637042"/>
          <c:h val="0.59874699798411479"/>
        </c:manualLayout>
      </c:layout>
      <c:lineChart>
        <c:grouping val="standard"/>
        <c:varyColors val="0"/>
        <c:ser>
          <c:idx val="6"/>
          <c:order val="0"/>
          <c:tx>
            <c:strRef>
              <c:f>'Mobile Combustion'!$B$58</c:f>
              <c:strCache>
                <c:ptCount val="1"/>
                <c:pt idx="0">
                  <c:v>Gasoline Highway</c:v>
                </c:pt>
              </c:strCache>
            </c:strRef>
          </c:tx>
          <c:spPr>
            <a:ln w="12700">
              <a:solidFill>
                <a:srgbClr val="008080"/>
              </a:solidFill>
              <a:prstDash val="solid"/>
            </a:ln>
          </c:spPr>
          <c:marker>
            <c:symbol val="plus"/>
            <c:size val="5"/>
            <c:spPr>
              <a:noFill/>
              <a:ln>
                <a:solidFill>
                  <a:srgbClr val="00808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[0]!ChartRange_N2O_Gasoile_Highway</c:f>
              <c:numCache>
                <c:formatCode>_(* #,##0_);_(* \(#,##0\);_(* "-"??_);_(@_)</c:formatCode>
                <c:ptCount val="31"/>
                <c:pt idx="0">
                  <c:v>1305290.1938881932</c:v>
                </c:pt>
                <c:pt idx="1">
                  <c:v>1396647.3648699648</c:v>
                </c:pt>
                <c:pt idx="2">
                  <c:v>1478644.9655574225</c:v>
                </c:pt>
                <c:pt idx="3">
                  <c:v>1554856.8522988732</c:v>
                </c:pt>
                <c:pt idx="4">
                  <c:v>1617856.0822416728</c:v>
                </c:pt>
                <c:pt idx="5">
                  <c:v>1659388.6097923259</c:v>
                </c:pt>
                <c:pt idx="6">
                  <c:v>1703475.9669927375</c:v>
                </c:pt>
                <c:pt idx="7">
                  <c:v>1731346.3038398356</c:v>
                </c:pt>
                <c:pt idx="8">
                  <c:v>1737531.3042525372</c:v>
                </c:pt>
                <c:pt idx="9">
                  <c:v>1624605.4358309051</c:v>
                </c:pt>
                <c:pt idx="10">
                  <c:v>1552185.4050182444</c:v>
                </c:pt>
                <c:pt idx="11">
                  <c:v>1437311.908882068</c:v>
                </c:pt>
                <c:pt idx="12">
                  <c:v>1372708.6100317133</c:v>
                </c:pt>
                <c:pt idx="13">
                  <c:v>1303351.8507285155</c:v>
                </c:pt>
                <c:pt idx="14">
                  <c:v>1203116.8272574185</c:v>
                </c:pt>
                <c:pt idx="15">
                  <c:v>1079318.3240325172</c:v>
                </c:pt>
                <c:pt idx="16">
                  <c:v>962712.37776889105</c:v>
                </c:pt>
                <c:pt idx="17">
                  <c:v>886053.41551154701</c:v>
                </c:pt>
                <c:pt idx="18">
                  <c:v>807899.2344735075</c:v>
                </c:pt>
                <c:pt idx="19">
                  <c:v>702749.33618436207</c:v>
                </c:pt>
                <c:pt idx="20">
                  <c:v>658585.90170791361</c:v>
                </c:pt>
                <c:pt idx="21">
                  <c:v>605515.2058466546</c:v>
                </c:pt>
                <c:pt idx="22">
                  <c:v>532130.2622793176</c:v>
                </c:pt>
                <c:pt idx="23">
                  <c:v>467647.24151154706</c:v>
                </c:pt>
                <c:pt idx="24">
                  <c:v>400710.82097937871</c:v>
                </c:pt>
                <c:pt idx="25">
                  <c:v>342955.18815487198</c:v>
                </c:pt>
                <c:pt idx="26">
                  <c:v>309101.13032248284</c:v>
                </c:pt>
                <c:pt idx="27">
                  <c:v>261373.05341915399</c:v>
                </c:pt>
                <c:pt idx="28">
                  <c:v>214779.43599753172</c:v>
                </c:pt>
                <c:pt idx="29">
                  <c:v>231666.93165047865</c:v>
                </c:pt>
                <c:pt idx="30">
                  <c:v>164088.53785225828</c:v>
                </c:pt>
              </c:numCache>
            </c:numRef>
          </c:val>
          <c:smooth val="0"/>
          <c:extLst>
            <c:ext xmlns:c16="http://schemas.microsoft.com/office/drawing/2014/chart" uri="{C3380CC4-5D6E-409C-BE32-E72D297353CC}">
              <c16:uniqueId val="{00000000-349A-4A94-993C-B9781D4D48E7}"/>
            </c:ext>
          </c:extLst>
        </c:ser>
        <c:ser>
          <c:idx val="7"/>
          <c:order val="1"/>
          <c:tx>
            <c:strRef>
              <c:f>'Mobile Combustion'!$B$63</c:f>
              <c:strCache>
                <c:ptCount val="1"/>
                <c:pt idx="0">
                  <c:v>Diesel Highway</c:v>
                </c:pt>
              </c:strCache>
            </c:strRef>
          </c:tx>
          <c:spPr>
            <a:ln w="12700">
              <a:solidFill>
                <a:srgbClr val="0000FF"/>
              </a:solidFill>
              <a:prstDash val="solid"/>
            </a:ln>
          </c:spPr>
          <c:marker>
            <c:symbol val="dot"/>
            <c:size val="5"/>
            <c:spPr>
              <a:noFill/>
              <a:ln>
                <a:solidFill>
                  <a:srgbClr val="0000FF"/>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[0]!ChartRange_N2O_Diesel_Highway</c:f>
              <c:numCache>
                <c:formatCode>_(* #,##0_);_(* \(#,##0\);_(* "-"??_);_(@_)</c:formatCode>
                <c:ptCount val="31"/>
                <c:pt idx="0">
                  <c:v>6428.7838743494549</c:v>
                </c:pt>
                <c:pt idx="1">
                  <c:v>6598.8676181465617</c:v>
                </c:pt>
                <c:pt idx="2">
                  <c:v>6930.3951634241639</c:v>
                </c:pt>
                <c:pt idx="3">
                  <c:v>7078.4557653910697</c:v>
                </c:pt>
                <c:pt idx="4">
                  <c:v>7700.3203090272218</c:v>
                </c:pt>
                <c:pt idx="5">
                  <c:v>8115.1283451338204</c:v>
                </c:pt>
                <c:pt idx="6">
                  <c:v>8358.3452613220888</c:v>
                </c:pt>
                <c:pt idx="7">
                  <c:v>8810.7874600215146</c:v>
                </c:pt>
                <c:pt idx="8">
                  <c:v>9032.2002305572187</c:v>
                </c:pt>
                <c:pt idx="9">
                  <c:v>9309.9934037812163</c:v>
                </c:pt>
                <c:pt idx="10">
                  <c:v>9312.0261164552594</c:v>
                </c:pt>
                <c:pt idx="11">
                  <c:v>9620.1956177695611</c:v>
                </c:pt>
                <c:pt idx="12">
                  <c:v>9840.3943397537732</c:v>
                </c:pt>
                <c:pt idx="13">
                  <c:v>9857.4382019173354</c:v>
                </c:pt>
                <c:pt idx="14">
                  <c:v>10305.075394903079</c:v>
                </c:pt>
                <c:pt idx="15">
                  <c:v>9955.3393588515064</c:v>
                </c:pt>
                <c:pt idx="16">
                  <c:v>10802.719848185281</c:v>
                </c:pt>
                <c:pt idx="17">
                  <c:v>22135.283221086851</c:v>
                </c:pt>
                <c:pt idx="18">
                  <c:v>28653.262002460491</c:v>
                </c:pt>
                <c:pt idx="19">
                  <c:v>39976.920166096264</c:v>
                </c:pt>
                <c:pt idx="20">
                  <c:v>44756.515142233788</c:v>
                </c:pt>
                <c:pt idx="21">
                  <c:v>47542.22791644602</c:v>
                </c:pt>
                <c:pt idx="22">
                  <c:v>56996.093887464856</c:v>
                </c:pt>
                <c:pt idx="23">
                  <c:v>65960.733052117605</c:v>
                </c:pt>
                <c:pt idx="24">
                  <c:v>75006.23244861947</c:v>
                </c:pt>
                <c:pt idx="25">
                  <c:v>80736.674767525939</c:v>
                </c:pt>
                <c:pt idx="26">
                  <c:v>79580.710088289852</c:v>
                </c:pt>
                <c:pt idx="27">
                  <c:v>85533.221749093733</c:v>
                </c:pt>
                <c:pt idx="28">
                  <c:v>94925.10657912404</c:v>
                </c:pt>
                <c:pt idx="29">
                  <c:v>96035.962131450229</c:v>
                </c:pt>
                <c:pt idx="30">
                  <c:v>87794.204561975959</c:v>
                </c:pt>
              </c:numCache>
            </c:numRef>
          </c:val>
          <c:smooth val="0"/>
          <c:extLst>
            <c:ext xmlns:c16="http://schemas.microsoft.com/office/drawing/2014/chart" uri="{C3380CC4-5D6E-409C-BE32-E72D297353CC}">
              <c16:uniqueId val="{00000001-349A-4A94-993C-B9781D4D48E7}"/>
            </c:ext>
          </c:extLst>
        </c:ser>
        <c:ser>
          <c:idx val="0"/>
          <c:order val="2"/>
          <c:tx>
            <c:strRef>
              <c:f>'Mobile Combustion'!$B$69</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[0]!ChartRange_N2O_Boats</c:f>
              <c:numCache>
                <c:formatCode>_(* #,##0_);_(* \(#,##0\);_(* "-"??_);_(@_)</c:formatCode>
                <c:ptCount val="31"/>
                <c:pt idx="0">
                  <c:v>581.045680571356</c:v>
                </c:pt>
                <c:pt idx="1">
                  <c:v>554.20552492218962</c:v>
                </c:pt>
                <c:pt idx="2">
                  <c:v>523.77278076779942</c:v>
                </c:pt>
                <c:pt idx="3">
                  <c:v>505.16088376736889</c:v>
                </c:pt>
                <c:pt idx="4">
                  <c:v>567.59164512271377</c:v>
                </c:pt>
                <c:pt idx="5">
                  <c:v>577.86358167061564</c:v>
                </c:pt>
                <c:pt idx="6">
                  <c:v>523.75235061455044</c:v>
                </c:pt>
                <c:pt idx="7">
                  <c:v>600.23538843501558</c:v>
                </c:pt>
                <c:pt idx="8">
                  <c:v>552.22151312470805</c:v>
                </c:pt>
                <c:pt idx="9">
                  <c:v>579.41044046551849</c:v>
                </c:pt>
                <c:pt idx="10">
                  <c:v>815.54514979406667</c:v>
                </c:pt>
                <c:pt idx="11">
                  <c:v>1024.2716987549488</c:v>
                </c:pt>
                <c:pt idx="12">
                  <c:v>783.6328230086076</c:v>
                </c:pt>
                <c:pt idx="13">
                  <c:v>1053.5384441772617</c:v>
                </c:pt>
                <c:pt idx="14">
                  <c:v>69.381602803894154</c:v>
                </c:pt>
                <c:pt idx="15">
                  <c:v>655.42632819392577</c:v>
                </c:pt>
                <c:pt idx="16">
                  <c:v>805.95312789055185</c:v>
                </c:pt>
                <c:pt idx="17">
                  <c:v>704.84214049124012</c:v>
                </c:pt>
                <c:pt idx="18">
                  <c:v>668.34018597607144</c:v>
                </c:pt>
                <c:pt idx="19">
                  <c:v>625.90611299093132</c:v>
                </c:pt>
                <c:pt idx="20">
                  <c:v>554.00427885887029</c:v>
                </c:pt>
                <c:pt idx="21">
                  <c:v>515.35490998379896</c:v>
                </c:pt>
                <c:pt idx="22">
                  <c:v>614.03376305601262</c:v>
                </c:pt>
                <c:pt idx="23">
                  <c:v>637.82672682904069</c:v>
                </c:pt>
                <c:pt idx="24">
                  <c:v>454.09474339207532</c:v>
                </c:pt>
                <c:pt idx="25">
                  <c:v>789.39918323332995</c:v>
                </c:pt>
                <c:pt idx="26">
                  <c:v>785.15141160435985</c:v>
                </c:pt>
                <c:pt idx="27">
                  <c:v>788.94525516657984</c:v>
                </c:pt>
                <c:pt idx="28">
                  <c:v>847.74651644740413</c:v>
                </c:pt>
                <c:pt idx="29">
                  <c:v>768.45356428192144</c:v>
                </c:pt>
                <c:pt idx="30">
                  <c:v>799.58107874559312</c:v>
                </c:pt>
              </c:numCache>
            </c:numRef>
          </c:val>
          <c:smooth val="0"/>
          <c:extLst>
            <c:ext xmlns:c16="http://schemas.microsoft.com/office/drawing/2014/chart" uri="{C3380CC4-5D6E-409C-BE32-E72D297353CC}">
              <c16:uniqueId val="{00000002-349A-4A94-993C-B9781D4D48E7}"/>
            </c:ext>
          </c:extLst>
        </c:ser>
        <c:ser>
          <c:idx val="1"/>
          <c:order val="3"/>
          <c:tx>
            <c:strRef>
              <c:f>'Mobile Combustion'!$B$70</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[0]!ChartRange_N2O_Locomotives</c:f>
              <c:numCache>
                <c:formatCode>_(* #,##0_);_(* \(#,##0\);_(* "-"??_);_(@_)</c:formatCode>
                <c:ptCount val="31"/>
                <c:pt idx="0">
                  <c:v>11060.186279999998</c:v>
                </c:pt>
                <c:pt idx="1">
                  <c:v>9032.4248299999999</c:v>
                </c:pt>
                <c:pt idx="2">
                  <c:v>8670.5275799999999</c:v>
                </c:pt>
                <c:pt idx="3">
                  <c:v>9213.8660900000013</c:v>
                </c:pt>
                <c:pt idx="4">
                  <c:v>10533.445779999998</c:v>
                </c:pt>
                <c:pt idx="5">
                  <c:v>13863.431010000002</c:v>
                </c:pt>
                <c:pt idx="6">
                  <c:v>15218.480419999998</c:v>
                </c:pt>
                <c:pt idx="7">
                  <c:v>11340.609280000001</c:v>
                </c:pt>
                <c:pt idx="8">
                  <c:v>7907.3980700000011</c:v>
                </c:pt>
                <c:pt idx="9">
                  <c:v>9349.22703</c:v>
                </c:pt>
                <c:pt idx="10">
                  <c:v>8068.7549800000006</c:v>
                </c:pt>
                <c:pt idx="11">
                  <c:v>5639.9886399999996</c:v>
                </c:pt>
                <c:pt idx="12">
                  <c:v>7926.6487300000008</c:v>
                </c:pt>
                <c:pt idx="13">
                  <c:v>15293.133569999998</c:v>
                </c:pt>
                <c:pt idx="14">
                  <c:v>5146.3683700000001</c:v>
                </c:pt>
                <c:pt idx="15">
                  <c:v>4771.6626100000003</c:v>
                </c:pt>
                <c:pt idx="16">
                  <c:v>3382.2045400000002</c:v>
                </c:pt>
                <c:pt idx="17">
                  <c:v>3344.2337500000003</c:v>
                </c:pt>
                <c:pt idx="18">
                  <c:v>4127.1444499999998</c:v>
                </c:pt>
                <c:pt idx="19">
                  <c:v>4771.7383999999984</c:v>
                </c:pt>
                <c:pt idx="20">
                  <c:v>6747.4321200000004</c:v>
                </c:pt>
                <c:pt idx="21">
                  <c:v>5018.5864299999994</c:v>
                </c:pt>
                <c:pt idx="22">
                  <c:v>5672.6541299999999</c:v>
                </c:pt>
                <c:pt idx="23">
                  <c:v>6293.8289699999996</c:v>
                </c:pt>
                <c:pt idx="24">
                  <c:v>11515.911550000001</c:v>
                </c:pt>
                <c:pt idx="25">
                  <c:v>15732.563989999999</c:v>
                </c:pt>
                <c:pt idx="26">
                  <c:v>18344.742129999999</c:v>
                </c:pt>
                <c:pt idx="27">
                  <c:v>22354.184710000001</c:v>
                </c:pt>
                <c:pt idx="28">
                  <c:v>23813.900110000002</c:v>
                </c:pt>
                <c:pt idx="29">
                  <c:v>22059.05845</c:v>
                </c:pt>
                <c:pt idx="30">
                  <c:v>17687.870199999994</c:v>
                </c:pt>
              </c:numCache>
            </c:numRef>
          </c:val>
          <c:smooth val="0"/>
          <c:extLst>
            <c:ext xmlns:c16="http://schemas.microsoft.com/office/drawing/2014/chart" uri="{C3380CC4-5D6E-409C-BE32-E72D297353CC}">
              <c16:uniqueId val="{00000003-349A-4A94-993C-B9781D4D48E7}"/>
            </c:ext>
          </c:extLst>
        </c:ser>
        <c:ser>
          <c:idx val="2"/>
          <c:order val="4"/>
          <c:tx>
            <c:strRef>
              <c:f>'Mobile Combustion'!$B$71</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[0]!ChartRange_N2O_Farm</c:f>
              <c:numCache>
                <c:formatCode>_(* #,##0_);_(* \(#,##0\);_(* "-"??_);_(@_)</c:formatCode>
                <c:ptCount val="31"/>
                <c:pt idx="0">
                  <c:v>68804.670995572029</c:v>
                </c:pt>
                <c:pt idx="1">
                  <c:v>61151.589046871588</c:v>
                </c:pt>
                <c:pt idx="2">
                  <c:v>67211.428435618524</c:v>
                </c:pt>
                <c:pt idx="3">
                  <c:v>62125.976614333311</c:v>
                </c:pt>
                <c:pt idx="4">
                  <c:v>60942.930674433475</c:v>
                </c:pt>
                <c:pt idx="5">
                  <c:v>73370.790655417106</c:v>
                </c:pt>
                <c:pt idx="6">
                  <c:v>68828.465774230121</c:v>
                </c:pt>
                <c:pt idx="7">
                  <c:v>69503.151629602871</c:v>
                </c:pt>
                <c:pt idx="8">
                  <c:v>69368.190414742508</c:v>
                </c:pt>
                <c:pt idx="9">
                  <c:v>49731.298765662177</c:v>
                </c:pt>
                <c:pt idx="10">
                  <c:v>55277.181290179113</c:v>
                </c:pt>
                <c:pt idx="11">
                  <c:v>51143.339370097019</c:v>
                </c:pt>
                <c:pt idx="12">
                  <c:v>50901.709073818281</c:v>
                </c:pt>
                <c:pt idx="13">
                  <c:v>54048.539177992978</c:v>
                </c:pt>
                <c:pt idx="14">
                  <c:v>55483.351448563866</c:v>
                </c:pt>
                <c:pt idx="15">
                  <c:v>56364.229555181453</c:v>
                </c:pt>
                <c:pt idx="16">
                  <c:v>72414.601312132174</c:v>
                </c:pt>
                <c:pt idx="17">
                  <c:v>62552.853399553234</c:v>
                </c:pt>
                <c:pt idx="18">
                  <c:v>68956.242169074161</c:v>
                </c:pt>
                <c:pt idx="19">
                  <c:v>44022.178593654513</c:v>
                </c:pt>
                <c:pt idx="20">
                  <c:v>49533.218941999243</c:v>
                </c:pt>
                <c:pt idx="21">
                  <c:v>52466.856475447043</c:v>
                </c:pt>
                <c:pt idx="22">
                  <c:v>53030.969293512368</c:v>
                </c:pt>
                <c:pt idx="23">
                  <c:v>56873.541690936516</c:v>
                </c:pt>
                <c:pt idx="24">
                  <c:v>60688.946480198611</c:v>
                </c:pt>
                <c:pt idx="25">
                  <c:v>55551.394301110275</c:v>
                </c:pt>
                <c:pt idx="26">
                  <c:v>55419.926808809585</c:v>
                </c:pt>
                <c:pt idx="27">
                  <c:v>54951.677007112652</c:v>
                </c:pt>
                <c:pt idx="28">
                  <c:v>57180.661542922644</c:v>
                </c:pt>
                <c:pt idx="29">
                  <c:v>50871.589530618243</c:v>
                </c:pt>
                <c:pt idx="30">
                  <c:v>57147.856696361072</c:v>
                </c:pt>
              </c:numCache>
            </c:numRef>
          </c:val>
          <c:smooth val="0"/>
          <c:extLst>
            <c:ext xmlns:c16="http://schemas.microsoft.com/office/drawing/2014/chart" uri="{C3380CC4-5D6E-409C-BE32-E72D297353CC}">
              <c16:uniqueId val="{00000004-349A-4A94-993C-B9781D4D48E7}"/>
            </c:ext>
          </c:extLst>
        </c:ser>
        <c:ser>
          <c:idx val="3"/>
          <c:order val="5"/>
          <c:tx>
            <c:strRef>
              <c:f>'Mobile Combustion'!$B$72</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[0]!ChartRange_N2O_Construction_Equipment</c:f>
              <c:numCache>
                <c:formatCode>_(* #,##0_);_(* \(#,##0\);_(* "-"??_);_(@_)</c:formatCode>
                <c:ptCount val="31"/>
                <c:pt idx="0">
                  <c:v>55850.226928115502</c:v>
                </c:pt>
                <c:pt idx="1">
                  <c:v>50451.818563068126</c:v>
                </c:pt>
                <c:pt idx="2">
                  <c:v>52648.466858970925</c:v>
                </c:pt>
                <c:pt idx="3">
                  <c:v>57913.645227069464</c:v>
                </c:pt>
                <c:pt idx="4">
                  <c:v>57637.177190466602</c:v>
                </c:pt>
                <c:pt idx="5">
                  <c:v>46758.594618600364</c:v>
                </c:pt>
                <c:pt idx="6">
                  <c:v>50002.160638321329</c:v>
                </c:pt>
                <c:pt idx="7">
                  <c:v>48604.651423384072</c:v>
                </c:pt>
                <c:pt idx="8">
                  <c:v>46111.517320778388</c:v>
                </c:pt>
                <c:pt idx="9">
                  <c:v>48804.722847633493</c:v>
                </c:pt>
                <c:pt idx="10">
                  <c:v>47318.145079781236</c:v>
                </c:pt>
                <c:pt idx="11">
                  <c:v>53832.754069923853</c:v>
                </c:pt>
                <c:pt idx="12">
                  <c:v>65327.760341989633</c:v>
                </c:pt>
                <c:pt idx="13">
                  <c:v>78181.676733835397</c:v>
                </c:pt>
                <c:pt idx="14">
                  <c:v>69091.005381273135</c:v>
                </c:pt>
                <c:pt idx="15">
                  <c:v>84627.753905723148</c:v>
                </c:pt>
                <c:pt idx="16">
                  <c:v>97772.356962874153</c:v>
                </c:pt>
                <c:pt idx="17">
                  <c:v>72854.754692273913</c:v>
                </c:pt>
                <c:pt idx="18">
                  <c:v>64896.1964229246</c:v>
                </c:pt>
                <c:pt idx="19">
                  <c:v>61547.880422327253</c:v>
                </c:pt>
                <c:pt idx="20">
                  <c:v>63284.956270564231</c:v>
                </c:pt>
                <c:pt idx="21">
                  <c:v>71456.964842015994</c:v>
                </c:pt>
                <c:pt idx="22">
                  <c:v>63424.262188122586</c:v>
                </c:pt>
                <c:pt idx="23">
                  <c:v>71765.067615564752</c:v>
                </c:pt>
                <c:pt idx="24">
                  <c:v>64407.889952298639</c:v>
                </c:pt>
                <c:pt idx="25">
                  <c:v>37112.053326581823</c:v>
                </c:pt>
                <c:pt idx="26">
                  <c:v>38291.746209657293</c:v>
                </c:pt>
                <c:pt idx="27">
                  <c:v>41490.661706804021</c:v>
                </c:pt>
                <c:pt idx="28">
                  <c:v>42838.84989693018</c:v>
                </c:pt>
                <c:pt idx="29">
                  <c:v>43956.779984231915</c:v>
                </c:pt>
                <c:pt idx="30">
                  <c:v>40580.359373279236</c:v>
                </c:pt>
              </c:numCache>
            </c:numRef>
          </c:val>
          <c:smooth val="0"/>
          <c:extLst>
            <c:ext xmlns:c16="http://schemas.microsoft.com/office/drawing/2014/chart" uri="{C3380CC4-5D6E-409C-BE32-E72D297353CC}">
              <c16:uniqueId val="{00000005-349A-4A94-993C-B9781D4D48E7}"/>
            </c:ext>
          </c:extLst>
        </c:ser>
        <c:ser>
          <c:idx val="4"/>
          <c:order val="6"/>
          <c:tx>
            <c:strRef>
              <c:f>'Mobile Combustion'!$B$73</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[0]!ChartRange_N2O_Aircraft</c:f>
              <c:numCache>
                <c:formatCode>_(* #,##0_);_(* \(#,##0\);_(* "-"??_);_(@_)</c:formatCode>
                <c:ptCount val="31"/>
                <c:pt idx="0">
                  <c:v>13400.5374897456</c:v>
                </c:pt>
                <c:pt idx="1">
                  <c:v>21721.588906190402</c:v>
                </c:pt>
                <c:pt idx="2">
                  <c:v>24934.870256190403</c:v>
                </c:pt>
                <c:pt idx="3">
                  <c:v>30917.546414062399</c:v>
                </c:pt>
                <c:pt idx="4">
                  <c:v>32386.7392595616</c:v>
                </c:pt>
                <c:pt idx="5">
                  <c:v>34877.225077136012</c:v>
                </c:pt>
                <c:pt idx="6">
                  <c:v>40595.4834918208</c:v>
                </c:pt>
                <c:pt idx="7">
                  <c:v>42012.866817468785</c:v>
                </c:pt>
                <c:pt idx="8">
                  <c:v>44190.507570227201</c:v>
                </c:pt>
                <c:pt idx="9">
                  <c:v>61174.143805708809</c:v>
                </c:pt>
                <c:pt idx="10">
                  <c:v>76037.606543782415</c:v>
                </c:pt>
                <c:pt idx="11">
                  <c:v>62504.783592355205</c:v>
                </c:pt>
                <c:pt idx="12">
                  <c:v>45609.305831024001</c:v>
                </c:pt>
                <c:pt idx="13">
                  <c:v>44854.642617004793</c:v>
                </c:pt>
                <c:pt idx="14">
                  <c:v>72214.096720060785</c:v>
                </c:pt>
                <c:pt idx="15">
                  <c:v>132195.81777042878</c:v>
                </c:pt>
                <c:pt idx="16">
                  <c:v>95598.157946243184</c:v>
                </c:pt>
                <c:pt idx="17">
                  <c:v>98917.961431891192</c:v>
                </c:pt>
                <c:pt idx="18">
                  <c:v>93650.998458335991</c:v>
                </c:pt>
                <c:pt idx="19">
                  <c:v>83511.870012224012</c:v>
                </c:pt>
                <c:pt idx="20">
                  <c:v>94147.423761391998</c:v>
                </c:pt>
                <c:pt idx="21">
                  <c:v>93721.439270095987</c:v>
                </c:pt>
                <c:pt idx="22">
                  <c:v>88971.676520262379</c:v>
                </c:pt>
                <c:pt idx="23">
                  <c:v>91058.919505113605</c:v>
                </c:pt>
                <c:pt idx="24">
                  <c:v>94497.073840928002</c:v>
                </c:pt>
                <c:pt idx="25">
                  <c:v>101454.68966059521</c:v>
                </c:pt>
                <c:pt idx="26">
                  <c:v>103684.71739076161</c:v>
                </c:pt>
                <c:pt idx="27">
                  <c:v>104317.13750737281</c:v>
                </c:pt>
                <c:pt idx="28">
                  <c:v>102648.14366059519</c:v>
                </c:pt>
                <c:pt idx="29">
                  <c:v>104496.36434172482</c:v>
                </c:pt>
                <c:pt idx="30">
                  <c:v>61437.636789632008</c:v>
                </c:pt>
              </c:numCache>
            </c:numRef>
          </c:val>
          <c:smooth val="0"/>
          <c:extLst>
            <c:ext xmlns:c16="http://schemas.microsoft.com/office/drawing/2014/chart" uri="{C3380CC4-5D6E-409C-BE32-E72D297353CC}">
              <c16:uniqueId val="{00000006-349A-4A94-993C-B9781D4D48E7}"/>
            </c:ext>
          </c:extLst>
        </c:ser>
        <c:ser>
          <c:idx val="5"/>
          <c:order val="7"/>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[0]!ChartRange_N2O_Other</c:f>
              <c:numCache>
                <c:formatCode>_(* #,##0_);_(* \(#,##0\);_(* "-"??_);_(@_)</c:formatCode>
                <c:ptCount val="31"/>
                <c:pt idx="0">
                  <c:v>26104.78090047164</c:v>
                </c:pt>
                <c:pt idx="1">
                  <c:v>26231.419650642172</c:v>
                </c:pt>
                <c:pt idx="2">
                  <c:v>27101.544925733262</c:v>
                </c:pt>
                <c:pt idx="3">
                  <c:v>90221.547710146566</c:v>
                </c:pt>
                <c:pt idx="4">
                  <c:v>56363.12144287843</c:v>
                </c:pt>
                <c:pt idx="5">
                  <c:v>55833.945490777463</c:v>
                </c:pt>
                <c:pt idx="6">
                  <c:v>56041.876246528911</c:v>
                </c:pt>
                <c:pt idx="7">
                  <c:v>58048.839373474992</c:v>
                </c:pt>
                <c:pt idx="8">
                  <c:v>78108.713250242407</c:v>
                </c:pt>
                <c:pt idx="9">
                  <c:v>86374.863714903171</c:v>
                </c:pt>
                <c:pt idx="10">
                  <c:v>91582.024152971353</c:v>
                </c:pt>
                <c:pt idx="11">
                  <c:v>91138.659238487977</c:v>
                </c:pt>
                <c:pt idx="12">
                  <c:v>93294.721115838009</c:v>
                </c:pt>
                <c:pt idx="13">
                  <c:v>97440.729874268043</c:v>
                </c:pt>
                <c:pt idx="14">
                  <c:v>102291.45670515041</c:v>
                </c:pt>
                <c:pt idx="15">
                  <c:v>103691.6538526217</c:v>
                </c:pt>
                <c:pt idx="16">
                  <c:v>119589.39825202379</c:v>
                </c:pt>
                <c:pt idx="17">
                  <c:v>36767.728224316401</c:v>
                </c:pt>
                <c:pt idx="18">
                  <c:v>37976.274346894301</c:v>
                </c:pt>
                <c:pt idx="19">
                  <c:v>37777.131904297436</c:v>
                </c:pt>
                <c:pt idx="20">
                  <c:v>120262.79685722724</c:v>
                </c:pt>
                <c:pt idx="21">
                  <c:v>108069.30439696761</c:v>
                </c:pt>
                <c:pt idx="22">
                  <c:v>130026.85205181529</c:v>
                </c:pt>
                <c:pt idx="23">
                  <c:v>108945.93436704406</c:v>
                </c:pt>
                <c:pt idx="24">
                  <c:v>111377.75091168765</c:v>
                </c:pt>
                <c:pt idx="25">
                  <c:v>101520.03773194533</c:v>
                </c:pt>
                <c:pt idx="26">
                  <c:v>102050.1346523378</c:v>
                </c:pt>
                <c:pt idx="27">
                  <c:v>103429.65202199097</c:v>
                </c:pt>
                <c:pt idx="28">
                  <c:v>104593.82877641659</c:v>
                </c:pt>
                <c:pt idx="29">
                  <c:v>105901.91713324937</c:v>
                </c:pt>
                <c:pt idx="30">
                  <c:v>100071.40971307039</c:v>
                </c:pt>
              </c:numCache>
            </c:numRef>
          </c:val>
          <c:smooth val="0"/>
          <c:extLst>
            <c:ext xmlns:c16="http://schemas.microsoft.com/office/drawing/2014/chart" uri="{C3380CC4-5D6E-409C-BE32-E72D297353CC}">
              <c16:uniqueId val="{00000007-349A-4A94-993C-B9781D4D48E7}"/>
            </c:ext>
          </c:extLst>
        </c:ser>
        <c:ser>
          <c:idx val="8"/>
          <c:order val="8"/>
          <c:tx>
            <c:strRef>
              <c:f>'Mobile Combustion'!$B$103</c:f>
              <c:strCache>
                <c:ptCount val="1"/>
                <c:pt idx="0">
                  <c:v>Alternative Fuel Vehicles</c:v>
                </c:pt>
              </c:strCache>
            </c:strRef>
          </c:tx>
          <c:spPr>
            <a:ln w="12700">
              <a:solidFill>
                <a:srgbClr val="FF9900"/>
              </a:solidFill>
              <a:prstDash val="solid"/>
            </a:ln>
          </c:spPr>
          <c:marker>
            <c:symbol val="dash"/>
            <c:size val="5"/>
            <c:spPr>
              <a:noFill/>
              <a:ln>
                <a:solidFill>
                  <a:srgbClr val="FF99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[0]!ChartRange_N2O_Alternative_Fuel_Vehicles</c:f>
              <c:numCache>
                <c:formatCode>_(* #,##0_);_(* \(#,##0\);_(* "-"??_);_(@_)</c:formatCode>
                <c:ptCount val="31"/>
                <c:pt idx="0">
                  <c:v>19.942180310934983</c:v>
                </c:pt>
                <c:pt idx="1">
                  <c:v>21.283119339934235</c:v>
                </c:pt>
                <c:pt idx="2">
                  <c:v>20.418163206158528</c:v>
                </c:pt>
                <c:pt idx="3">
                  <c:v>26.259730942057413</c:v>
                </c:pt>
                <c:pt idx="4">
                  <c:v>25.539751798656791</c:v>
                </c:pt>
                <c:pt idx="5">
                  <c:v>24.397721350007714</c:v>
                </c:pt>
                <c:pt idx="6">
                  <c:v>25.309652270183747</c:v>
                </c:pt>
                <c:pt idx="7">
                  <c:v>23.323313811858721</c:v>
                </c:pt>
                <c:pt idx="8">
                  <c:v>22.764512361235216</c:v>
                </c:pt>
                <c:pt idx="9">
                  <c:v>21.284249049080614</c:v>
                </c:pt>
                <c:pt idx="10">
                  <c:v>22.770241173428239</c:v>
                </c:pt>
                <c:pt idx="11">
                  <c:v>24.959007816148215</c:v>
                </c:pt>
                <c:pt idx="12">
                  <c:v>29.652451967924769</c:v>
                </c:pt>
                <c:pt idx="13">
                  <c:v>32.482681278600253</c:v>
                </c:pt>
                <c:pt idx="14">
                  <c:v>22.858536010948686</c:v>
                </c:pt>
                <c:pt idx="15">
                  <c:v>23.151579420564776</c:v>
                </c:pt>
                <c:pt idx="16">
                  <c:v>18.766816051015105</c:v>
                </c:pt>
                <c:pt idx="17">
                  <c:v>16.939601940207989</c:v>
                </c:pt>
                <c:pt idx="18">
                  <c:v>15.714930408159208</c:v>
                </c:pt>
                <c:pt idx="19">
                  <c:v>17.151495559556935</c:v>
                </c:pt>
                <c:pt idx="20">
                  <c:v>20.226698103957009</c:v>
                </c:pt>
                <c:pt idx="21">
                  <c:v>21.404943091178552</c:v>
                </c:pt>
                <c:pt idx="22">
                  <c:v>23.253761594146614</c:v>
                </c:pt>
                <c:pt idx="23">
                  <c:v>26.291090084153403</c:v>
                </c:pt>
                <c:pt idx="24">
                  <c:v>27.232134360889386</c:v>
                </c:pt>
                <c:pt idx="25">
                  <c:v>28.617492213570713</c:v>
                </c:pt>
                <c:pt idx="26">
                  <c:v>30.572737527423783</c:v>
                </c:pt>
                <c:pt idx="27">
                  <c:v>30.804756586852395</c:v>
                </c:pt>
                <c:pt idx="28">
                  <c:v>29.257901027589945</c:v>
                </c:pt>
                <c:pt idx="29">
                  <c:v>32.638123717241378</c:v>
                </c:pt>
                <c:pt idx="30">
                  <c:v>29.253343528848365</c:v>
                </c:pt>
              </c:numCache>
            </c:numRef>
          </c:val>
          <c:smooth val="0"/>
          <c:extLst>
            <c:ext xmlns:c16="http://schemas.microsoft.com/office/drawing/2014/chart" uri="{C3380CC4-5D6E-409C-BE32-E72D297353CC}">
              <c16:uniqueId val="{00000008-349A-4A94-993C-B9781D4D48E7}"/>
            </c:ext>
          </c:extLst>
        </c:ser>
        <c:ser>
          <c:idx val="9"/>
          <c:order val="9"/>
          <c:tx>
            <c:v>Additional Emissions Source</c:v>
          </c:tx>
          <c:spPr>
            <a:ln w="12700"/>
          </c:spPr>
          <c:marker>
            <c:spPr>
              <a:ln w="12700"/>
            </c:spPr>
          </c:marker>
          <c:val>
            <c:numRef>
              <c:f>'Mobile Combustion'!$C$107:$AF$107</c:f>
              <c:numCache>
                <c:formatCode>_(* #,##0_);_(* \(#,##0\);_(* "-"??_);_(@_)</c:formatCode>
                <c:ptCount val="30"/>
              </c:numCache>
            </c:numRef>
          </c:val>
          <c:smooth val="0"/>
          <c:extLst>
            <c:ext xmlns:c16="http://schemas.microsoft.com/office/drawing/2014/chart" uri="{C3380CC4-5D6E-409C-BE32-E72D297353CC}">
              <c16:uniqueId val="{00000001-99B3-4853-9EF6-EDEB5A473AC7}"/>
            </c:ext>
          </c:extLst>
        </c:ser>
        <c:dLbls>
          <c:showLegendKey val="0"/>
          <c:showVal val="0"/>
          <c:showCatName val="0"/>
          <c:showSerName val="0"/>
          <c:showPercent val="0"/>
          <c:showBubbleSize val="0"/>
        </c:dLbls>
        <c:marker val="1"/>
        <c:smooth val="0"/>
        <c:axId val="219685936"/>
        <c:axId val="219686328"/>
      </c:lineChart>
      <c:catAx>
        <c:axId val="219685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686328"/>
        <c:crosses val="autoZero"/>
        <c:auto val="1"/>
        <c:lblAlgn val="ctr"/>
        <c:lblOffset val="100"/>
        <c:tickLblSkip val="2"/>
        <c:tickMarkSkip val="1"/>
        <c:noMultiLvlLbl val="0"/>
      </c:catAx>
      <c:valAx>
        <c:axId val="21968632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9.8764951811853539E-3"/>
              <c:y val="0.44827655142615774"/>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685936"/>
        <c:crosses val="autoZero"/>
        <c:crossBetween val="between"/>
      </c:valAx>
      <c:spPr>
        <a:solidFill>
          <a:srgbClr val="FFFFFF"/>
        </a:solidFill>
        <a:ln w="12700">
          <a:solidFill>
            <a:srgbClr val="FFFFFF"/>
          </a:solidFill>
          <a:prstDash val="solid"/>
        </a:ln>
      </c:spPr>
    </c:plotArea>
    <c:legend>
      <c:legendPos val="r"/>
      <c:layout>
        <c:manualLayout>
          <c:xMode val="edge"/>
          <c:yMode val="edge"/>
          <c:x val="0.81630971993410217"/>
          <c:y val="0.19309010160155815"/>
          <c:w val="0.1836903081799571"/>
          <c:h val="0.6612943652313729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Coal!$M$33</c:f>
          <c:strCache>
            <c:ptCount val="1"/>
            <c:pt idx="0">
              <c:v>Greenhouse Gas Emissions from Coal Mining, 1990-2025</c:v>
            </c:pt>
          </c:strCache>
        </c:strRef>
      </c:tx>
      <c:layout>
        <c:manualLayout>
          <c:xMode val="edge"/>
          <c:yMode val="edge"/>
          <c:x val="0.24268355754423687"/>
          <c:y val="4.569805166336390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4078653629834731"/>
          <c:y val="0.21070234113712374"/>
          <c:w val="0.81610996427644344"/>
          <c:h val="0.5852842809364549"/>
        </c:manualLayout>
      </c:layout>
      <c:lineChart>
        <c:grouping val="standard"/>
        <c:varyColors val="0"/>
        <c:ser>
          <c:idx val="0"/>
          <c:order val="0"/>
          <c:tx>
            <c:strRef>
              <c:f>Coal!$B$5</c:f>
              <c:strCache>
                <c:ptCount val="1"/>
                <c:pt idx="0">
                  <c:v>Coal Mining</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[0]!ChartRange_Coal_Year</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[0]!ChartRange_Coal_Mining</c:f>
              <c:numCache>
                <c:formatCode>_(* #,##0_);_(* \(#,##0\);_(* "-"??_);_(@_)</c:formatCode>
                <c:ptCount val="36"/>
                <c:pt idx="0">
                  <c:v>5403875.771497</c:v>
                </c:pt>
                <c:pt idx="1">
                  <c:v>5517170.0794018749</c:v>
                </c:pt>
                <c:pt idx="2">
                  <c:v>5812724.7947467119</c:v>
                </c:pt>
                <c:pt idx="3">
                  <c:v>4530188.7932419991</c:v>
                </c:pt>
                <c:pt idx="4">
                  <c:v>5524856.4110529991</c:v>
                </c:pt>
                <c:pt idx="5">
                  <c:v>5713285.4837799994</c:v>
                </c:pt>
                <c:pt idx="6">
                  <c:v>5368309.153655</c:v>
                </c:pt>
                <c:pt idx="7">
                  <c:v>4553174.0506559992</c:v>
                </c:pt>
                <c:pt idx="8">
                  <c:v>4117885.7023569997</c:v>
                </c:pt>
                <c:pt idx="9">
                  <c:v>4105486.1108729988</c:v>
                </c:pt>
                <c:pt idx="10">
                  <c:v>4489302.4183560014</c:v>
                </c:pt>
                <c:pt idx="11">
                  <c:v>3801158.2124315384</c:v>
                </c:pt>
                <c:pt idx="12">
                  <c:v>3109309.8295705738</c:v>
                </c:pt>
                <c:pt idx="13">
                  <c:v>2466185.1958429557</c:v>
                </c:pt>
                <c:pt idx="14">
                  <c:v>3029140.1750205536</c:v>
                </c:pt>
                <c:pt idx="15">
                  <c:v>3439340.6931801471</c:v>
                </c:pt>
                <c:pt idx="16">
                  <c:v>3634428.2712766007</c:v>
                </c:pt>
                <c:pt idx="17">
                  <c:v>2375571.2621860448</c:v>
                </c:pt>
                <c:pt idx="18">
                  <c:v>4100828.317019756</c:v>
                </c:pt>
                <c:pt idx="19">
                  <c:v>3872143.1858818517</c:v>
                </c:pt>
                <c:pt idx="20">
                  <c:v>4615906.9574367683</c:v>
                </c:pt>
                <c:pt idx="21">
                  <c:v>4058625.7975379135</c:v>
                </c:pt>
                <c:pt idx="22">
                  <c:v>5228199.9652907923</c:v>
                </c:pt>
                <c:pt idx="23">
                  <c:v>4820155.3767383173</c:v>
                </c:pt>
                <c:pt idx="24">
                  <c:v>4981070.6430140603</c:v>
                </c:pt>
                <c:pt idx="25">
                  <c:v>5699602.7892932389</c:v>
                </c:pt>
                <c:pt idx="26">
                  <c:v>5962551.6632273309</c:v>
                </c:pt>
                <c:pt idx="27">
                  <c:v>4600348.4991441891</c:v>
                </c:pt>
                <c:pt idx="28">
                  <c:v>3528898.1111817006</c:v>
                </c:pt>
                <c:pt idx="29">
                  <c:v>3059445.8248722362</c:v>
                </c:pt>
                <c:pt idx="30">
                  <c:v>2215486.0805155686</c:v>
                </c:pt>
                <c:pt idx="31">
                  <c:v>0</c:v>
                </c:pt>
                <c:pt idx="32">
                  <c:v>0</c:v>
                </c:pt>
                <c:pt idx="33">
                  <c:v>0</c:v>
                </c:pt>
                <c:pt idx="34">
                  <c:v>0</c:v>
                </c:pt>
                <c:pt idx="35">
                  <c:v>0</c:v>
                </c:pt>
              </c:numCache>
            </c:numRef>
          </c:val>
          <c:smooth val="0"/>
          <c:extLst>
            <c:ext xmlns:c16="http://schemas.microsoft.com/office/drawing/2014/chart" uri="{C3380CC4-5D6E-409C-BE32-E72D297353CC}">
              <c16:uniqueId val="{00000000-FCCE-4BDA-8E91-B723838A0BD1}"/>
            </c:ext>
          </c:extLst>
        </c:ser>
        <c:ser>
          <c:idx val="1"/>
          <c:order val="1"/>
          <c:tx>
            <c:strRef>
              <c:f>Coal!$B$6</c:f>
              <c:strCache>
                <c:ptCount val="1"/>
                <c:pt idx="0">
                  <c:v>Abandoned Coal Mines</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strRef>
              <c:f>[0]!ChartRange_Coal_Year</c:f>
              <c:strCach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strCache>
            </c:strRef>
          </c:cat>
          <c:val>
            <c:numRef>
              <c:f>[0]!ChartRange_Coal_Abandoned_Coal_Mines</c:f>
              <c:numCache>
                <c:formatCode>_(* #,##0_);_(* \(#,##0\);_(* "-"??_);_(@_)</c:formatCode>
                <c:ptCount val="36"/>
                <c:pt idx="0">
                  <c:v>205697.28075552551</c:v>
                </c:pt>
                <c:pt idx="1">
                  <c:v>214446.24365893769</c:v>
                </c:pt>
                <c:pt idx="2">
                  <c:v>255532.17508561013</c:v>
                </c:pt>
                <c:pt idx="3">
                  <c:v>208165.03689825081</c:v>
                </c:pt>
                <c:pt idx="4">
                  <c:v>291201.79605881509</c:v>
                </c:pt>
                <c:pt idx="5">
                  <c:v>327813.40044110623</c:v>
                </c:pt>
                <c:pt idx="6">
                  <c:v>382836.30270077934</c:v>
                </c:pt>
                <c:pt idx="7">
                  <c:v>630181.51031123823</c:v>
                </c:pt>
                <c:pt idx="8">
                  <c:v>581414.43463127199</c:v>
                </c:pt>
                <c:pt idx="9">
                  <c:v>543934.32532483316</c:v>
                </c:pt>
                <c:pt idx="10">
                  <c:v>476275.47403676464</c:v>
                </c:pt>
                <c:pt idx="11">
                  <c:v>437675.81917557825</c:v>
                </c:pt>
                <c:pt idx="12">
                  <c:v>406938.57962127944</c:v>
                </c:pt>
                <c:pt idx="13">
                  <c:v>490105.64992673515</c:v>
                </c:pt>
                <c:pt idx="14">
                  <c:v>487370.55788170779</c:v>
                </c:pt>
                <c:pt idx="15">
                  <c:v>452247.91255112714</c:v>
                </c:pt>
                <c:pt idx="16">
                  <c:v>427651.95633640036</c:v>
                </c:pt>
                <c:pt idx="17">
                  <c:v>408418.67499627813</c:v>
                </c:pt>
                <c:pt idx="18">
                  <c:v>392533.25370027311</c:v>
                </c:pt>
                <c:pt idx="19">
                  <c:v>423450.23170671641</c:v>
                </c:pt>
                <c:pt idx="20">
                  <c:v>401977.16279420583</c:v>
                </c:pt>
                <c:pt idx="21">
                  <c:v>452577.83382574195</c:v>
                </c:pt>
                <c:pt idx="22">
                  <c:v>417560.45029307291</c:v>
                </c:pt>
                <c:pt idx="23">
                  <c:v>395277.15987867117</c:v>
                </c:pt>
                <c:pt idx="24">
                  <c:v>422826.23707155068</c:v>
                </c:pt>
                <c:pt idx="25">
                  <c:v>401072.4467802376</c:v>
                </c:pt>
                <c:pt idx="26">
                  <c:v>386061.82645797281</c:v>
                </c:pt>
                <c:pt idx="27">
                  <c:v>374213.83354401425</c:v>
                </c:pt>
                <c:pt idx="28">
                  <c:v>364248.60237180238</c:v>
                </c:pt>
                <c:pt idx="29">
                  <c:v>355552.64183255797</c:v>
                </c:pt>
                <c:pt idx="30">
                  <c:v>347784.60658200394</c:v>
                </c:pt>
                <c:pt idx="31" formatCode="_(* #,##0.00_);_(* \(#,##0.00\);_(* &quot;-&quot;??_);_(@_)">
                  <c:v>340734.98465039779</c:v>
                </c:pt>
                <c:pt idx="32" formatCode="_(* #,##0.00_);_(* \(#,##0.00\);_(* &quot;-&quot;??_);_(@_)">
                  <c:v>334265.24068285839</c:v>
                </c:pt>
                <c:pt idx="33" formatCode="_(* #,##0.00_);_(* \(#,##0.00\);_(* &quot;-&quot;??_);_(@_)">
                  <c:v>328278.12681537971</c:v>
                </c:pt>
                <c:pt idx="34" formatCode="_(* #,##0.00_);_(* \(#,##0.00\);_(* &quot;-&quot;??_);_(@_)">
                  <c:v>322701.98347361083</c:v>
                </c:pt>
                <c:pt idx="35" formatCode="_(* #,##0.00_);_(* \(#,##0.00\);_(* &quot;-&quot;??_);_(@_)">
                  <c:v>317481.90045141382</c:v>
                </c:pt>
              </c:numCache>
            </c:numRef>
          </c:val>
          <c:smooth val="0"/>
          <c:extLst>
            <c:ext xmlns:c16="http://schemas.microsoft.com/office/drawing/2014/chart" uri="{C3380CC4-5D6E-409C-BE32-E72D297353CC}">
              <c16:uniqueId val="{00000001-FCCE-4BDA-8E91-B723838A0BD1}"/>
            </c:ext>
          </c:extLst>
        </c:ser>
        <c:ser>
          <c:idx val="2"/>
          <c:order val="2"/>
          <c:tx>
            <c:v>Additional Emissions Source</c:v>
          </c:tx>
          <c:spPr>
            <a:ln w="12700"/>
          </c:spPr>
          <c:marker>
            <c:spPr>
              <a:ln w="12700"/>
            </c:spPr>
          </c:marker>
          <c:val>
            <c:numRef>
              <c:f>Coal!$C$10:$AF$10</c:f>
              <c:numCache>
                <c:formatCode>_(* #,##0_);_(* \(#,##0\);_(* "-"??_);_(@_)</c:formatCode>
                <c:ptCount val="30"/>
              </c:numCache>
            </c:numRef>
          </c:val>
          <c:smooth val="0"/>
          <c:extLst>
            <c:ext xmlns:c16="http://schemas.microsoft.com/office/drawing/2014/chart" uri="{C3380CC4-5D6E-409C-BE32-E72D297353CC}">
              <c16:uniqueId val="{00000001-7719-4513-B53F-500975EBC2E6}"/>
            </c:ext>
          </c:extLst>
        </c:ser>
        <c:dLbls>
          <c:showLegendKey val="0"/>
          <c:showVal val="0"/>
          <c:showCatName val="0"/>
          <c:showSerName val="0"/>
          <c:showPercent val="0"/>
          <c:showBubbleSize val="0"/>
        </c:dLbls>
        <c:marker val="1"/>
        <c:smooth val="0"/>
        <c:axId val="217308944"/>
        <c:axId val="219687112"/>
      </c:lineChart>
      <c:catAx>
        <c:axId val="217308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687112"/>
        <c:crosses val="autoZero"/>
        <c:auto val="1"/>
        <c:lblAlgn val="ctr"/>
        <c:lblOffset val="100"/>
        <c:tickLblSkip val="1"/>
        <c:tickMarkSkip val="1"/>
        <c:noMultiLvlLbl val="0"/>
      </c:catAx>
      <c:valAx>
        <c:axId val="219687112"/>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1000" b="1" i="0" u="none" strike="noStrike" baseline="0">
                    <a:solidFill>
                      <a:srgbClr val="000000"/>
                    </a:solidFill>
                    <a:latin typeface="Comic Sans MS"/>
                  </a:rPr>
                  <a:t>Emissions (MTCO</a:t>
                </a:r>
                <a:r>
                  <a:rPr lang="en-US" sz="1000" b="1" i="0" u="none" strike="noStrike" baseline="-25000">
                    <a:solidFill>
                      <a:srgbClr val="000000"/>
                    </a:solidFill>
                    <a:latin typeface="Comic Sans MS"/>
                  </a:rPr>
                  <a:t>2</a:t>
                </a:r>
                <a:r>
                  <a:rPr lang="en-US" sz="1000" b="1" i="0" u="none" strike="noStrike" baseline="0">
                    <a:solidFill>
                      <a:srgbClr val="000000"/>
                    </a:solidFill>
                    <a:latin typeface="Comic Sans MS"/>
                  </a:rPr>
                  <a:t>E)</a:t>
                </a:r>
              </a:p>
            </c:rich>
          </c:tx>
          <c:layout>
            <c:manualLayout>
              <c:xMode val="edge"/>
              <c:yMode val="edge"/>
              <c:x val="1.4778312106959787E-2"/>
              <c:y val="0.2842809815868132"/>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omic Sans MS"/>
                <a:ea typeface="Comic Sans MS"/>
                <a:cs typeface="Comic Sans MS"/>
              </a:defRPr>
            </a:pPr>
            <a:endParaRPr lang="en-US"/>
          </a:p>
        </c:txPr>
        <c:crossAx val="217308944"/>
        <c:crosses val="autoZero"/>
        <c:crossBetween val="between"/>
      </c:valAx>
      <c:spPr>
        <a:solidFill>
          <a:srgbClr val="FFFFFF"/>
        </a:solidFill>
        <a:ln w="12700">
          <a:solidFill>
            <a:srgbClr val="FFFFFF"/>
          </a:solidFill>
          <a:prstDash val="solid"/>
        </a:ln>
      </c:spPr>
    </c:plotArea>
    <c:legend>
      <c:legendPos val="r"/>
      <c:layout>
        <c:manualLayout>
          <c:xMode val="edge"/>
          <c:yMode val="edge"/>
          <c:x val="0.19302482579748453"/>
          <c:y val="0.14715218737192737"/>
          <c:w val="0.62817271954480869"/>
          <c:h val="9.7220289324299561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 and Oil'!$O$34</c:f>
          <c:strCache>
            <c:ptCount val="1"/>
            <c:pt idx="0">
              <c:v>Greenhouse Gas Emissions from Oil and Gas Activities, 1990-2022</c:v>
            </c:pt>
          </c:strCache>
        </c:strRef>
      </c:tx>
      <c:layout>
        <c:manualLayout>
          <c:xMode val="edge"/>
          <c:yMode val="edge"/>
          <c:x val="0.21165860239463474"/>
          <c:y val="3.8735279771444496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5823153303008696E-2"/>
          <c:y val="0.15946869722782331"/>
          <c:w val="0.87715040331215643"/>
          <c:h val="0.57807402745085956"/>
        </c:manualLayout>
      </c:layout>
      <c:lineChart>
        <c:grouping val="standard"/>
        <c:varyColors val="0"/>
        <c:ser>
          <c:idx val="0"/>
          <c:order val="0"/>
          <c:tx>
            <c:strRef>
              <c:f>'Gas and Oil'!$B$5</c:f>
              <c:strCache>
                <c:ptCount val="1"/>
                <c:pt idx="0">
                  <c:v>Natural Gas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[0]!ChartRange_GasOil_Year</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[0]!ChartRange_GasOil_Natural_Gas</c:f>
              <c:numCache>
                <c:formatCode>_(* #,##0.000_);_(* \(#,##0.000\);_(* "-"??_);_(@_)</c:formatCode>
                <c:ptCount val="33"/>
                <c:pt idx="0">
                  <c:v>4.007136E-2</c:v>
                </c:pt>
                <c:pt idx="1">
                  <c:v>4.1984879999999995E-2</c:v>
                </c:pt>
                <c:pt idx="2">
                  <c:v>4.3104880000000005E-2</c:v>
                </c:pt>
                <c:pt idx="3">
                  <c:v>4.3443400000000007E-2</c:v>
                </c:pt>
                <c:pt idx="4">
                  <c:v>4.4226000000000001E-2</c:v>
                </c:pt>
                <c:pt idx="5">
                  <c:v>4.228896E-2</c:v>
                </c:pt>
                <c:pt idx="6">
                  <c:v>4.2268800000000002E-2</c:v>
                </c:pt>
                <c:pt idx="7">
                  <c:v>4.2184799999999995E-2</c:v>
                </c:pt>
                <c:pt idx="8">
                  <c:v>2.10826E-2</c:v>
                </c:pt>
                <c:pt idx="9">
                  <c:v>3.4355999999999998E-2</c:v>
                </c:pt>
                <c:pt idx="10">
                  <c:v>3.19872E-2</c:v>
                </c:pt>
                <c:pt idx="11">
                  <c:v>3.4271999999999997E-2</c:v>
                </c:pt>
                <c:pt idx="12">
                  <c:v>2.5766999999999998E-2</c:v>
                </c:pt>
                <c:pt idx="13">
                  <c:v>2.7551999999999997E-2</c:v>
                </c:pt>
                <c:pt idx="14">
                  <c:v>2.888508E-2</c:v>
                </c:pt>
                <c:pt idx="15">
                  <c:v>3.6276799999999991E-2</c:v>
                </c:pt>
                <c:pt idx="16">
                  <c:v>3.6276799999999991E-2</c:v>
                </c:pt>
                <c:pt idx="17">
                  <c:v>4.9363999999999996E-3</c:v>
                </c:pt>
                <c:pt idx="18">
                  <c:v>5.1659999999999987E-3</c:v>
                </c:pt>
                <c:pt idx="19">
                  <c:v>5.8548000000000003E-3</c:v>
                </c:pt>
                <c:pt idx="20">
                  <c:v>3.8473331220220652</c:v>
                </c:pt>
                <c:pt idx="21">
                  <c:v>3.8520209948658861</c:v>
                </c:pt>
                <c:pt idx="22">
                  <c:v>3.8298934853427511</c:v>
                </c:pt>
                <c:pt idx="23">
                  <c:v>3.825826337817126</c:v>
                </c:pt>
                <c:pt idx="24">
                  <c:v>3.8338021321777771</c:v>
                </c:pt>
                <c:pt idx="25">
                  <c:v>3.8029789794541276</c:v>
                </c:pt>
                <c:pt idx="26">
                  <c:v>3.7980355174659413</c:v>
                </c:pt>
                <c:pt idx="27">
                  <c:v>3.8013546109401619</c:v>
                </c:pt>
                <c:pt idx="28">
                  <c:v>3.7830997832794542</c:v>
                </c:pt>
                <c:pt idx="29">
                  <c:v>3.819113045961616</c:v>
                </c:pt>
                <c:pt idx="30">
                  <c:v>3.820669715827246</c:v>
                </c:pt>
                <c:pt idx="31">
                  <c:v>3.8152114226839777</c:v>
                </c:pt>
                <c:pt idx="32">
                  <c:v>3.8164075844402912</c:v>
                </c:pt>
              </c:numCache>
            </c:numRef>
          </c:val>
          <c:smooth val="0"/>
          <c:extLst>
            <c:ext xmlns:c16="http://schemas.microsoft.com/office/drawing/2014/chart" uri="{C3380CC4-5D6E-409C-BE32-E72D297353CC}">
              <c16:uniqueId val="{00000000-6736-4061-B55F-7DC6C9D4C9BB}"/>
            </c:ext>
          </c:extLst>
        </c:ser>
        <c:ser>
          <c:idx val="1"/>
          <c:order val="1"/>
          <c:tx>
            <c:strRef>
              <c:f>'Gas and Oil'!$B$6</c:f>
              <c:strCache>
                <c:ptCount val="1"/>
                <c:pt idx="0">
                  <c:v>Oil</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[0]!ChartRange_GasOil_Year</c:f>
              <c:numCache>
                <c:formatCode>General</c:formatCode>
                <c:ptCount val="33"/>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numCache>
            </c:numRef>
          </c:cat>
          <c:val>
            <c:numRef>
              <c:f>[0]!ChartRange_GasOil_Oil</c:f>
              <c:numCache>
                <c:formatCode>_(* #,##0.000_);_(* \(#,##0.000\);_(* "-"??_);_(@_)</c:formatCode>
                <c:ptCount val="33"/>
                <c:pt idx="0">
                  <c:v>0.35892240005184967</c:v>
                </c:pt>
                <c:pt idx="1">
                  <c:v>0.3400121540933615</c:v>
                </c:pt>
                <c:pt idx="2">
                  <c:v>0.3486530489483945</c:v>
                </c:pt>
                <c:pt idx="3">
                  <c:v>0.32578711282859368</c:v>
                </c:pt>
                <c:pt idx="4">
                  <c:v>0.32789640976302947</c:v>
                </c:pt>
                <c:pt idx="5">
                  <c:v>0.31287422859276032</c:v>
                </c:pt>
                <c:pt idx="6">
                  <c:v>0.30818916104608912</c:v>
                </c:pt>
                <c:pt idx="7">
                  <c:v>0.31350986177544915</c:v>
                </c:pt>
                <c:pt idx="8">
                  <c:v>0.27037398127290246</c:v>
                </c:pt>
                <c:pt idx="9">
                  <c:v>0.24655221672969968</c:v>
                </c:pt>
                <c:pt idx="10">
                  <c:v>0.24853551501153601</c:v>
                </c:pt>
                <c:pt idx="11">
                  <c:v>0.20402049341067766</c:v>
                </c:pt>
                <c:pt idx="12">
                  <c:v>0.22527493418526226</c:v>
                </c:pt>
                <c:pt idx="13">
                  <c:v>0.24242562748372706</c:v>
                </c:pt>
                <c:pt idx="14">
                  <c:v>0.23447501438614748</c:v>
                </c:pt>
                <c:pt idx="15">
                  <c:v>0.21267754402878292</c:v>
                </c:pt>
                <c:pt idx="16">
                  <c:v>0.23166663815843599</c:v>
                </c:pt>
                <c:pt idx="17">
                  <c:v>0.21428812073685261</c:v>
                </c:pt>
                <c:pt idx="18">
                  <c:v>0.2122901850158769</c:v>
                </c:pt>
                <c:pt idx="19">
                  <c:v>0.1858699248835731</c:v>
                </c:pt>
                <c:pt idx="20">
                  <c:v>0.17734196786402689</c:v>
                </c:pt>
                <c:pt idx="21">
                  <c:v>0.17323504814656562</c:v>
                </c:pt>
                <c:pt idx="22">
                  <c:v>0.15712221452846623</c:v>
                </c:pt>
                <c:pt idx="23">
                  <c:v>0.14872467796110725</c:v>
                </c:pt>
                <c:pt idx="24">
                  <c:v>0.13280634601857866</c:v>
                </c:pt>
                <c:pt idx="25">
                  <c:v>0.12271689749261666</c:v>
                </c:pt>
                <c:pt idx="26">
                  <c:v>0.10629371476491573</c:v>
                </c:pt>
                <c:pt idx="27">
                  <c:v>0.10643338548441959</c:v>
                </c:pt>
                <c:pt idx="28">
                  <c:v>8.7534809050061044E-2</c:v>
                </c:pt>
                <c:pt idx="29">
                  <c:v>7.9752825890992779E-2</c:v>
                </c:pt>
                <c:pt idx="30">
                  <c:v>7.5464738572874793E-2</c:v>
                </c:pt>
                <c:pt idx="31">
                  <c:v>0</c:v>
                </c:pt>
                <c:pt idx="32">
                  <c:v>0</c:v>
                </c:pt>
              </c:numCache>
            </c:numRef>
          </c:val>
          <c:smooth val="0"/>
          <c:extLst>
            <c:ext xmlns:c16="http://schemas.microsoft.com/office/drawing/2014/chart" uri="{C3380CC4-5D6E-409C-BE32-E72D297353CC}">
              <c16:uniqueId val="{00000001-6736-4061-B55F-7DC6C9D4C9BB}"/>
            </c:ext>
          </c:extLst>
        </c:ser>
        <c:ser>
          <c:idx val="2"/>
          <c:order val="2"/>
          <c:tx>
            <c:v>Additional Emissions Source</c:v>
          </c:tx>
          <c:spPr>
            <a:ln w="12700"/>
          </c:spPr>
          <c:marker>
            <c:spPr>
              <a:ln w="12700"/>
            </c:spPr>
          </c:marker>
          <c:val>
            <c:numRef>
              <c:f>'Gas and Oil'!$C$7:$AF$7</c:f>
              <c:numCache>
                <c:formatCode>General</c:formatCode>
                <c:ptCount val="30"/>
              </c:numCache>
            </c:numRef>
          </c:val>
          <c:smooth val="0"/>
          <c:extLst>
            <c:ext xmlns:c16="http://schemas.microsoft.com/office/drawing/2014/chart" uri="{C3380CC4-5D6E-409C-BE32-E72D297353CC}">
              <c16:uniqueId val="{00000001-F073-4271-B569-AEFC5D71A7EA}"/>
            </c:ext>
          </c:extLst>
        </c:ser>
        <c:dLbls>
          <c:showLegendKey val="0"/>
          <c:showVal val="0"/>
          <c:showCatName val="0"/>
          <c:showSerName val="0"/>
          <c:showPercent val="0"/>
          <c:showBubbleSize val="0"/>
        </c:dLbls>
        <c:marker val="1"/>
        <c:smooth val="0"/>
        <c:axId val="218840168"/>
        <c:axId val="218839776"/>
      </c:lineChart>
      <c:catAx>
        <c:axId val="218840168"/>
        <c:scaling>
          <c:orientation val="minMax"/>
        </c:scaling>
        <c:delete val="0"/>
        <c:axPos val="b"/>
        <c:title>
          <c:tx>
            <c:rich>
              <a:bodyPr/>
              <a:lstStyle/>
              <a:p>
                <a:pPr>
                  <a:defRPr sz="1000" b="0" i="0" u="none" strike="noStrike" baseline="0">
                    <a:solidFill>
                      <a:srgbClr val="000000"/>
                    </a:solidFill>
                    <a:latin typeface="Comic Sans MS"/>
                    <a:ea typeface="Comic Sans MS"/>
                    <a:cs typeface="Comic Sans MS"/>
                  </a:defRPr>
                </a:pPr>
                <a:r>
                  <a:rPr lang="en-US"/>
                  <a:t>Year</a:t>
                </a:r>
              </a:p>
            </c:rich>
          </c:tx>
          <c:layout>
            <c:manualLayout>
              <c:xMode val="edge"/>
              <c:yMode val="edge"/>
              <c:x val="0.51474232427333622"/>
              <c:y val="0.870433307019141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8839776"/>
        <c:crosses val="autoZero"/>
        <c:auto val="1"/>
        <c:lblAlgn val="ctr"/>
        <c:lblOffset val="100"/>
        <c:tickLblSkip val="1"/>
        <c:tickMarkSkip val="1"/>
        <c:noMultiLvlLbl val="0"/>
      </c:catAx>
      <c:valAx>
        <c:axId val="218839776"/>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Emissions (MMTCO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9.8280076763521823E-3"/>
              <c:y val="0.23588074948215018"/>
            </c:manualLayout>
          </c:layout>
          <c:overlay val="0"/>
          <c:spPr>
            <a:noFill/>
            <a:ln w="25400">
              <a:noFill/>
            </a:ln>
          </c:spPr>
        </c:title>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8840168"/>
        <c:crosses val="autoZero"/>
        <c:crossBetween val="between"/>
      </c:valAx>
      <c:spPr>
        <a:solidFill>
          <a:srgbClr val="FFFFFF"/>
        </a:solidFill>
        <a:ln w="12700">
          <a:solidFill>
            <a:srgbClr val="FFFFFF"/>
          </a:solidFill>
          <a:prstDash val="solid"/>
        </a:ln>
      </c:spPr>
    </c:plotArea>
    <c:legend>
      <c:legendPos val="r"/>
      <c:layout>
        <c:manualLayout>
          <c:xMode val="edge"/>
          <c:yMode val="edge"/>
          <c:x val="0.18889000577055529"/>
          <c:y val="0.13159533276162261"/>
          <c:w val="0.64078107257869366"/>
          <c:h val="7.4576371022929064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IP!$W$30</c:f>
          <c:strCache>
            <c:ptCount val="1"/>
            <c:pt idx="0">
              <c:v>Emissions by Gas Type, 1990-2020</c:v>
            </c:pt>
          </c:strCache>
        </c:strRef>
      </c:tx>
      <c:layout>
        <c:manualLayout>
          <c:xMode val="edge"/>
          <c:yMode val="edge"/>
          <c:x val="0.33902468785329731"/>
          <c:y val="3.6423716266235945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2866858715831253"/>
          <c:y val="0.29801324503311261"/>
          <c:w val="0.82317122187691849"/>
          <c:h val="0.47350993377483441"/>
        </c:manualLayout>
      </c:layout>
      <c:lineChart>
        <c:grouping val="standard"/>
        <c:varyColors val="0"/>
        <c:ser>
          <c:idx val="0"/>
          <c:order val="0"/>
          <c:tx>
            <c:v>CO2</c:v>
          </c:tx>
          <c:spPr>
            <a:ln w="12700">
              <a:solidFill>
                <a:srgbClr val="000080"/>
              </a:solidFill>
              <a:prstDash val="solid"/>
            </a:ln>
          </c:spPr>
          <c:marker>
            <c:symbol val="diamond"/>
            <c:size val="3"/>
            <c:spPr>
              <a:solidFill>
                <a:srgbClr val="000080"/>
              </a:solidFill>
              <a:ln>
                <a:solidFill>
                  <a:srgbClr val="00008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[0]!ChartRange_IP_Carbon_Dioxide_Emissions</c:f>
              <c:numCache>
                <c:formatCode>_(* #,##0_);_(* \(#,##0\);_(* "-"??_);_(@_)</c:formatCode>
                <c:ptCount val="31"/>
                <c:pt idx="0">
                  <c:v>2443937.2797783264</c:v>
                </c:pt>
                <c:pt idx="1">
                  <c:v>2332191.5418258845</c:v>
                </c:pt>
                <c:pt idx="2">
                  <c:v>2402709.9347448135</c:v>
                </c:pt>
                <c:pt idx="3">
                  <c:v>2530751.9266305077</c:v>
                </c:pt>
                <c:pt idx="4">
                  <c:v>2884983.1880176463</c:v>
                </c:pt>
                <c:pt idx="5">
                  <c:v>3096316.8184900247</c:v>
                </c:pt>
                <c:pt idx="6">
                  <c:v>3156967.7002062476</c:v>
                </c:pt>
                <c:pt idx="7">
                  <c:v>9656532.6705081258</c:v>
                </c:pt>
                <c:pt idx="8">
                  <c:v>9147621.1055159327</c:v>
                </c:pt>
                <c:pt idx="9">
                  <c:v>8797456.2363590505</c:v>
                </c:pt>
                <c:pt idx="10">
                  <c:v>8093859.1653350908</c:v>
                </c:pt>
                <c:pt idx="11">
                  <c:v>7012112.9706795309</c:v>
                </c:pt>
                <c:pt idx="12">
                  <c:v>7974115.8488767119</c:v>
                </c:pt>
                <c:pt idx="13">
                  <c:v>8255408.5080743283</c:v>
                </c:pt>
                <c:pt idx="14">
                  <c:v>6476040.0690624109</c:v>
                </c:pt>
                <c:pt idx="15">
                  <c:v>6411626.4532705462</c:v>
                </c:pt>
                <c:pt idx="16">
                  <c:v>6445170.4433646528</c:v>
                </c:pt>
                <c:pt idx="17">
                  <c:v>6121579.6649381118</c:v>
                </c:pt>
                <c:pt idx="18">
                  <c:v>5564177.2346790722</c:v>
                </c:pt>
                <c:pt idx="19">
                  <c:v>2907355.3994282261</c:v>
                </c:pt>
                <c:pt idx="20">
                  <c:v>4399569.5378062334</c:v>
                </c:pt>
                <c:pt idx="21">
                  <c:v>4264525.8818669599</c:v>
                </c:pt>
                <c:pt idx="22">
                  <c:v>3955056.7020898978</c:v>
                </c:pt>
                <c:pt idx="23">
                  <c:v>4262511.3044092227</c:v>
                </c:pt>
                <c:pt idx="24">
                  <c:v>4399561.2047164571</c:v>
                </c:pt>
                <c:pt idx="25">
                  <c:v>4517620.3150697434</c:v>
                </c:pt>
                <c:pt idx="26">
                  <c:v>4429510.5062261028</c:v>
                </c:pt>
                <c:pt idx="27">
                  <c:v>4128371.5561686256</c:v>
                </c:pt>
                <c:pt idx="28">
                  <c:v>3864255.5394974463</c:v>
                </c:pt>
                <c:pt idx="29">
                  <c:v>4152318.2720898511</c:v>
                </c:pt>
                <c:pt idx="30">
                  <c:v>4197362.7698094267</c:v>
                </c:pt>
              </c:numCache>
            </c:numRef>
          </c:val>
          <c:smooth val="0"/>
          <c:extLst>
            <c:ext xmlns:c16="http://schemas.microsoft.com/office/drawing/2014/chart" uri="{C3380CC4-5D6E-409C-BE32-E72D297353CC}">
              <c16:uniqueId val="{00000000-D7B6-4185-9F3E-E5B76B19DC1B}"/>
            </c:ext>
          </c:extLst>
        </c:ser>
        <c:ser>
          <c:idx val="2"/>
          <c:order val="1"/>
          <c:tx>
            <c:v>N2O</c:v>
          </c:tx>
          <c:spPr>
            <a:ln w="12700">
              <a:solidFill>
                <a:srgbClr val="339966"/>
              </a:solidFill>
              <a:prstDash val="solid"/>
            </a:ln>
          </c:spPr>
          <c:marker>
            <c:symbol val="circle"/>
            <c:size val="3"/>
            <c:spPr>
              <a:solidFill>
                <a:srgbClr val="339966"/>
              </a:solidFill>
              <a:ln>
                <a:solidFill>
                  <a:srgbClr val="339966"/>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[0]!ChartRange_IP_Nitrous_Oxide_Emissions</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D7B6-4185-9F3E-E5B76B19DC1B}"/>
            </c:ext>
          </c:extLst>
        </c:ser>
        <c:ser>
          <c:idx val="3"/>
          <c:order val="2"/>
          <c:tx>
            <c:v>HFC, PFC, and SF6</c:v>
          </c:tx>
          <c:spPr>
            <a:ln w="12700">
              <a:solidFill>
                <a:srgbClr val="800080"/>
              </a:solidFill>
              <a:prstDash val="solid"/>
            </a:ln>
          </c:spPr>
          <c:marker>
            <c:symbol val="square"/>
            <c:size val="3"/>
            <c:spPr>
              <a:solidFill>
                <a:srgbClr val="800080"/>
              </a:solidFill>
              <a:ln>
                <a:solidFill>
                  <a:srgbClr val="80008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[0]!ChartRange_IP_HFC__PFC__and_SF6_Emissions</c:f>
              <c:numCache>
                <c:formatCode>_(* #,##0_);_(* \(#,##0\);_(* "-"??_);_(@_)</c:formatCode>
                <c:ptCount val="31"/>
                <c:pt idx="0">
                  <c:v>993945.40829774085</c:v>
                </c:pt>
                <c:pt idx="1">
                  <c:v>990672.46048659272</c:v>
                </c:pt>
                <c:pt idx="2">
                  <c:v>1009956.6154143986</c:v>
                </c:pt>
                <c:pt idx="3">
                  <c:v>1196946.6250931935</c:v>
                </c:pt>
                <c:pt idx="4">
                  <c:v>1570050.7714815326</c:v>
                </c:pt>
                <c:pt idx="5">
                  <c:v>2349710.543930999</c:v>
                </c:pt>
                <c:pt idx="6">
                  <c:v>2861191.1731790183</c:v>
                </c:pt>
                <c:pt idx="7">
                  <c:v>3366596.6790034254</c:v>
                </c:pt>
                <c:pt idx="8">
                  <c:v>3682186.1844055112</c:v>
                </c:pt>
                <c:pt idx="9">
                  <c:v>4125606.7726448253</c:v>
                </c:pt>
                <c:pt idx="10">
                  <c:v>4442380.997634911</c:v>
                </c:pt>
                <c:pt idx="11">
                  <c:v>4756025.0800276008</c:v>
                </c:pt>
                <c:pt idx="12">
                  <c:v>4944243.1666068686</c:v>
                </c:pt>
                <c:pt idx="13">
                  <c:v>5082917.469322593</c:v>
                </c:pt>
                <c:pt idx="14">
                  <c:v>5211623.5564449029</c:v>
                </c:pt>
                <c:pt idx="15">
                  <c:v>5358971.6549770711</c:v>
                </c:pt>
                <c:pt idx="16">
                  <c:v>5574306.2798414715</c:v>
                </c:pt>
                <c:pt idx="17">
                  <c:v>5858626.5258187829</c:v>
                </c:pt>
                <c:pt idx="18">
                  <c:v>6222168.2781912824</c:v>
                </c:pt>
                <c:pt idx="19">
                  <c:v>5457548.7892822567</c:v>
                </c:pt>
                <c:pt idx="20">
                  <c:v>6912605.8429003768</c:v>
                </c:pt>
                <c:pt idx="21">
                  <c:v>6780099.9295717292</c:v>
                </c:pt>
                <c:pt idx="22">
                  <c:v>7221179.1862668796</c:v>
                </c:pt>
                <c:pt idx="23">
                  <c:v>6452280.5204107799</c:v>
                </c:pt>
                <c:pt idx="24">
                  <c:v>6205761.4521048311</c:v>
                </c:pt>
                <c:pt idx="25">
                  <c:v>6270535.5197389824</c:v>
                </c:pt>
                <c:pt idx="26">
                  <c:v>6251899.4634456234</c:v>
                </c:pt>
                <c:pt idx="27">
                  <c:v>6168568.4270592611</c:v>
                </c:pt>
                <c:pt idx="28">
                  <c:v>6140865.423907225</c:v>
                </c:pt>
                <c:pt idx="29">
                  <c:v>6230303.8335552495</c:v>
                </c:pt>
                <c:pt idx="30">
                  <c:v>6279679.2521486804</c:v>
                </c:pt>
              </c:numCache>
            </c:numRef>
          </c:val>
          <c:smooth val="0"/>
          <c:extLst>
            <c:ext xmlns:c16="http://schemas.microsoft.com/office/drawing/2014/chart" uri="{C3380CC4-5D6E-409C-BE32-E72D297353CC}">
              <c16:uniqueId val="{00000002-D7B6-4185-9F3E-E5B76B19DC1B}"/>
            </c:ext>
          </c:extLst>
        </c:ser>
        <c:dLbls>
          <c:showLegendKey val="0"/>
          <c:showVal val="0"/>
          <c:showCatName val="0"/>
          <c:showSerName val="0"/>
          <c:showPercent val="0"/>
          <c:showBubbleSize val="0"/>
        </c:dLbls>
        <c:marker val="1"/>
        <c:smooth val="0"/>
        <c:axId val="219407616"/>
        <c:axId val="219408008"/>
      </c:lineChart>
      <c:catAx>
        <c:axId val="219407616"/>
        <c:scaling>
          <c:orientation val="minMax"/>
        </c:scaling>
        <c:delete val="0"/>
        <c:axPos val="b"/>
        <c:title>
          <c:tx>
            <c:rich>
              <a:bodyPr/>
              <a:lstStyle/>
              <a:p>
                <a:pPr>
                  <a:defRPr sz="800" b="1" i="0" u="none" strike="noStrike" baseline="0">
                    <a:solidFill>
                      <a:srgbClr val="000000"/>
                    </a:solidFill>
                    <a:latin typeface="Comic Sans MS"/>
                    <a:ea typeface="Comic Sans MS"/>
                    <a:cs typeface="Comic Sans MS"/>
                  </a:defRPr>
                </a:pPr>
                <a:r>
                  <a:rPr lang="en-US"/>
                  <a:t>Year</a:t>
                </a:r>
              </a:p>
            </c:rich>
          </c:tx>
          <c:layout>
            <c:manualLayout>
              <c:xMode val="edge"/>
              <c:yMode val="edge"/>
              <c:x val="0.46707344100962711"/>
              <c:y val="0.89072851470489256"/>
            </c:manualLayout>
          </c:layout>
          <c:overlay val="0"/>
          <c:spPr>
            <a:noFill/>
            <a:ln w="25400">
              <a:noFill/>
            </a:ln>
          </c:spPr>
        </c:title>
        <c:numFmt formatCode="General" sourceLinked="1"/>
        <c:majorTickMark val="out"/>
        <c:minorTickMark val="none"/>
        <c:tickLblPos val="nextTo"/>
        <c:spPr>
          <a:ln w="9525">
            <a:noFill/>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408008"/>
        <c:crosses val="autoZero"/>
        <c:auto val="1"/>
        <c:lblAlgn val="ctr"/>
        <c:lblOffset val="100"/>
        <c:tickLblSkip val="1"/>
        <c:tickMarkSkip val="1"/>
        <c:noMultiLvlLbl val="0"/>
      </c:catAx>
      <c:valAx>
        <c:axId val="21940800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Emissions (MTCO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975063126596845E-3"/>
              <c:y val="0.34768221280032308"/>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407616"/>
        <c:crosses val="autoZero"/>
        <c:crossBetween val="between"/>
      </c:valAx>
      <c:spPr>
        <a:noFill/>
        <a:ln w="25400">
          <a:noFill/>
        </a:ln>
      </c:spPr>
    </c:plotArea>
    <c:legend>
      <c:legendPos val="r"/>
      <c:layout>
        <c:manualLayout>
          <c:xMode val="edge"/>
          <c:yMode val="edge"/>
          <c:x val="0.21199575897017531"/>
          <c:y val="0.15555566954782121"/>
          <c:w val="0.61711383865142588"/>
          <c:h val="9.6691887455436151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IP!$W$31</c:f>
          <c:strCache>
            <c:ptCount val="1"/>
            <c:pt idx="0">
              <c:v>Carbon Dioxide Emissions, 1990-2020</c:v>
            </c:pt>
          </c:strCache>
        </c:strRef>
      </c:tx>
      <c:layout>
        <c:manualLayout>
          <c:xMode val="edge"/>
          <c:yMode val="edge"/>
          <c:x val="0.33411251792255547"/>
          <c:y val="3.6423816163604551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1607795684782164"/>
          <c:y val="0.33623389004625537"/>
          <c:w val="0.84872434222728466"/>
          <c:h val="0.47350993377483441"/>
        </c:manualLayout>
      </c:layout>
      <c:lineChart>
        <c:grouping val="standard"/>
        <c:varyColors val="0"/>
        <c:ser>
          <c:idx val="1"/>
          <c:order val="0"/>
          <c:tx>
            <c:strRef>
              <c:f>IP!$B$5</c:f>
              <c:strCache>
                <c:ptCount val="1"/>
                <c:pt idx="0">
                  <c:v>Cement Manufacture</c:v>
                </c:pt>
              </c:strCache>
            </c:strRef>
          </c:tx>
          <c:spPr>
            <a:ln w="12700">
              <a:solidFill>
                <a:srgbClr val="FF9900"/>
              </a:solidFill>
              <a:prstDash val="solid"/>
            </a:ln>
          </c:spPr>
          <c:marker>
            <c:symbol val="triangle"/>
            <c:size val="3"/>
            <c:spPr>
              <a:solidFill>
                <a:srgbClr val="FF9900"/>
              </a:solidFill>
              <a:ln>
                <a:solidFill>
                  <a:srgbClr val="FF99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[0]!ChartRange_IP_Cement_Manufacture</c:f>
              <c:numCache>
                <c:formatCode>_(* #,##0_);_(* \(#,##0\);_(* "-"??_);_(@_)</c:formatCode>
                <c:ptCount val="31"/>
                <c:pt idx="0">
                  <c:v>1153161.6801233783</c:v>
                </c:pt>
                <c:pt idx="1">
                  <c:v>1192100.8255465843</c:v>
                </c:pt>
                <c:pt idx="2">
                  <c:v>1248398.3851945931</c:v>
                </c:pt>
                <c:pt idx="3">
                  <c:v>1178562.06</c:v>
                </c:pt>
                <c:pt idx="4">
                  <c:v>1205970.48</c:v>
                </c:pt>
                <c:pt idx="5">
                  <c:v>1212693.3</c:v>
                </c:pt>
                <c:pt idx="6">
                  <c:v>1322326.98</c:v>
                </c:pt>
                <c:pt idx="7">
                  <c:v>1247341.68</c:v>
                </c:pt>
                <c:pt idx="8">
                  <c:v>1279404.3600000001</c:v>
                </c:pt>
                <c:pt idx="9">
                  <c:v>1324395.54</c:v>
                </c:pt>
                <c:pt idx="10">
                  <c:v>1305724.2003000001</c:v>
                </c:pt>
                <c:pt idx="11">
                  <c:v>1291298.58</c:v>
                </c:pt>
                <c:pt idx="12">
                  <c:v>1318707</c:v>
                </c:pt>
                <c:pt idx="13">
                  <c:v>1330084.08</c:v>
                </c:pt>
                <c:pt idx="14">
                  <c:v>1372582.1658401799</c:v>
                </c:pt>
                <c:pt idx="15">
                  <c:v>1407137.94</c:v>
                </c:pt>
                <c:pt idx="16">
                  <c:v>1331741.1450102085</c:v>
                </c:pt>
                <c:pt idx="17">
                  <c:v>1483664.2241044573</c:v>
                </c:pt>
                <c:pt idx="18">
                  <c:v>1243298.0918408895</c:v>
                </c:pt>
                <c:pt idx="19">
                  <c:v>677962.69855705171</c:v>
                </c:pt>
                <c:pt idx="20">
                  <c:v>762018.8081488047</c:v>
                </c:pt>
                <c:pt idx="21">
                  <c:v>691396.10058892239</c:v>
                </c:pt>
                <c:pt idx="22">
                  <c:v>593944.12029737071</c:v>
                </c:pt>
                <c:pt idx="23">
                  <c:v>570673.75612942898</c:v>
                </c:pt>
                <c:pt idx="24">
                  <c:v>564489.53088726511</c:v>
                </c:pt>
                <c:pt idx="25">
                  <c:v>750364.8603987979</c:v>
                </c:pt>
                <c:pt idx="26">
                  <c:v>814824.92323245772</c:v>
                </c:pt>
                <c:pt idx="27">
                  <c:v>676413.59282577981</c:v>
                </c:pt>
                <c:pt idx="28">
                  <c:v>520493.13575999998</c:v>
                </c:pt>
                <c:pt idx="29">
                  <c:v>563155.63433999999</c:v>
                </c:pt>
                <c:pt idx="30">
                  <c:v>580648.92911999999</c:v>
                </c:pt>
              </c:numCache>
            </c:numRef>
          </c:val>
          <c:smooth val="0"/>
          <c:extLst>
            <c:ext xmlns:c16="http://schemas.microsoft.com/office/drawing/2014/chart" uri="{C3380CC4-5D6E-409C-BE32-E72D297353CC}">
              <c16:uniqueId val="{00000000-CE53-4EB8-8A76-BF1BC1930F62}"/>
            </c:ext>
          </c:extLst>
        </c:ser>
        <c:ser>
          <c:idx val="2"/>
          <c:order val="1"/>
          <c:tx>
            <c:strRef>
              <c:f>IP!$B$6</c:f>
              <c:strCache>
                <c:ptCount val="1"/>
                <c:pt idx="0">
                  <c:v>Lime Manufacture</c:v>
                </c:pt>
              </c:strCache>
            </c:strRef>
          </c:tx>
          <c:spPr>
            <a:ln w="12700">
              <a:solidFill>
                <a:srgbClr val="339966"/>
              </a:solidFill>
              <a:prstDash val="solid"/>
            </a:ln>
          </c:spPr>
          <c:marker>
            <c:symbol val="circle"/>
            <c:size val="3"/>
            <c:spPr>
              <a:solidFill>
                <a:srgbClr val="339966"/>
              </a:solidFill>
              <a:ln>
                <a:solidFill>
                  <a:srgbClr val="339966"/>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[0]!ChartRange_IP_Lime_Manufacture</c:f>
              <c:numCache>
                <c:formatCode>_(* #,##0_);_(* \(#,##0\);_(* "-"??_);_(@_)</c:formatCode>
                <c:ptCount val="31"/>
                <c:pt idx="0">
                  <c:v>958093.1716004936</c:v>
                </c:pt>
                <c:pt idx="1">
                  <c:v>814531.78298049513</c:v>
                </c:pt>
                <c:pt idx="2">
                  <c:v>820719.82077405648</c:v>
                </c:pt>
                <c:pt idx="3">
                  <c:v>1000142.2729074702</c:v>
                </c:pt>
                <c:pt idx="4">
                  <c:v>1054720.5785234522</c:v>
                </c:pt>
                <c:pt idx="5">
                  <c:v>1018379.6620324509</c:v>
                </c:pt>
                <c:pt idx="6">
                  <c:v>958860.58212853316</c:v>
                </c:pt>
                <c:pt idx="7">
                  <c:v>951482.8620707735</c:v>
                </c:pt>
                <c:pt idx="8">
                  <c:v>885873.2925105982</c:v>
                </c:pt>
                <c:pt idx="9">
                  <c:v>869352.40706860495</c:v>
                </c:pt>
                <c:pt idx="10">
                  <c:v>820803.80012892175</c:v>
                </c:pt>
                <c:pt idx="11">
                  <c:v>950185.92776811845</c:v>
                </c:pt>
                <c:pt idx="12">
                  <c:v>954961.61500169383</c:v>
                </c:pt>
                <c:pt idx="13">
                  <c:v>951511.72656800575</c:v>
                </c:pt>
                <c:pt idx="14">
                  <c:v>982859.57078160916</c:v>
                </c:pt>
                <c:pt idx="15">
                  <c:v>967526.64532490727</c:v>
                </c:pt>
                <c:pt idx="16">
                  <c:v>1027263.5671215486</c:v>
                </c:pt>
                <c:pt idx="17">
                  <c:v>1005415.2233125247</c:v>
                </c:pt>
                <c:pt idx="18">
                  <c:v>1010297.5275770255</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CE53-4EB8-8A76-BF1BC1930F62}"/>
            </c:ext>
          </c:extLst>
        </c:ser>
        <c:ser>
          <c:idx val="5"/>
          <c:order val="2"/>
          <c:tx>
            <c:strRef>
              <c:f>IP!$B$7</c:f>
              <c:strCache>
                <c:ptCount val="1"/>
                <c:pt idx="0">
                  <c:v>Limestone and Dolomite Use</c:v>
                </c:pt>
              </c:strCache>
            </c:strRef>
          </c:tx>
          <c:spPr>
            <a:ln w="12700">
              <a:solidFill>
                <a:srgbClr val="FF0000"/>
              </a:solidFill>
              <a:prstDash val="solid"/>
            </a:ln>
          </c:spPr>
          <c:marker>
            <c:symbol val="x"/>
            <c:size val="4"/>
            <c:spPr>
              <a:noFill/>
              <a:ln>
                <a:solidFill>
                  <a:srgbClr val="FF00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[0]!ChartRange_IP_Limestone_and_Dolomite_Use</c:f>
              <c:numCache>
                <c:formatCode>_(* #,##0_);_(* \(#,##0\);_(* "-"??_);_(@_)</c:formatCode>
                <c:ptCount val="31"/>
                <c:pt idx="0">
                  <c:v>0</c:v>
                </c:pt>
                <c:pt idx="1">
                  <c:v>0</c:v>
                </c:pt>
                <c:pt idx="2">
                  <c:v>0</c:v>
                </c:pt>
                <c:pt idx="3">
                  <c:v>0</c:v>
                </c:pt>
                <c:pt idx="4">
                  <c:v>246711.47369336395</c:v>
                </c:pt>
                <c:pt idx="5">
                  <c:v>491090.09876857162</c:v>
                </c:pt>
                <c:pt idx="6">
                  <c:v>497612.91961431655</c:v>
                </c:pt>
                <c:pt idx="7">
                  <c:v>429676.87460377766</c:v>
                </c:pt>
                <c:pt idx="8">
                  <c:v>461358.31506533746</c:v>
                </c:pt>
                <c:pt idx="9">
                  <c:v>608654.65406196273</c:v>
                </c:pt>
                <c:pt idx="10">
                  <c:v>366751.14825763128</c:v>
                </c:pt>
                <c:pt idx="11">
                  <c:v>354213.9622087382</c:v>
                </c:pt>
                <c:pt idx="12">
                  <c:v>412539.91207827826</c:v>
                </c:pt>
                <c:pt idx="13">
                  <c:v>340142.83353792573</c:v>
                </c:pt>
                <c:pt idx="14">
                  <c:v>600794.99973152205</c:v>
                </c:pt>
                <c:pt idx="15">
                  <c:v>585040.58805049234</c:v>
                </c:pt>
                <c:pt idx="16">
                  <c:v>860338.06640399783</c:v>
                </c:pt>
                <c:pt idx="17">
                  <c:v>575370.50985533569</c:v>
                </c:pt>
                <c:pt idx="18">
                  <c:v>412884.25173187564</c:v>
                </c:pt>
                <c:pt idx="19">
                  <c:v>696184.51798830298</c:v>
                </c:pt>
                <c:pt idx="20">
                  <c:v>727092.20520471619</c:v>
                </c:pt>
                <c:pt idx="21">
                  <c:v>631106.26339767745</c:v>
                </c:pt>
                <c:pt idx="22">
                  <c:v>415648.0024858393</c:v>
                </c:pt>
                <c:pt idx="23">
                  <c:v>739621.60593441059</c:v>
                </c:pt>
                <c:pt idx="24">
                  <c:v>841223.75398687378</c:v>
                </c:pt>
                <c:pt idx="25">
                  <c:v>768999.69826370373</c:v>
                </c:pt>
                <c:pt idx="26">
                  <c:v>658502.86551965913</c:v>
                </c:pt>
                <c:pt idx="27">
                  <c:v>482625.00493554689</c:v>
                </c:pt>
                <c:pt idx="28">
                  <c:v>353481.80175547017</c:v>
                </c:pt>
                <c:pt idx="29">
                  <c:v>592660.25706973753</c:v>
                </c:pt>
                <c:pt idx="30">
                  <c:v>634158.85367008916</c:v>
                </c:pt>
              </c:numCache>
            </c:numRef>
          </c:val>
          <c:smooth val="0"/>
          <c:extLst>
            <c:ext xmlns:c16="http://schemas.microsoft.com/office/drawing/2014/chart" uri="{C3380CC4-5D6E-409C-BE32-E72D297353CC}">
              <c16:uniqueId val="{00000002-CE53-4EB8-8A76-BF1BC1930F62}"/>
            </c:ext>
          </c:extLst>
        </c:ser>
        <c:ser>
          <c:idx val="3"/>
          <c:order val="3"/>
          <c:tx>
            <c:strRef>
              <c:f>IP!$B$8</c:f>
              <c:strCache>
                <c:ptCount val="1"/>
                <c:pt idx="0">
                  <c:v>Soda Ash</c:v>
                </c:pt>
              </c:strCache>
            </c:strRef>
          </c:tx>
          <c:spPr>
            <a:ln w="12700">
              <a:solidFill>
                <a:srgbClr val="003300"/>
              </a:solidFill>
              <a:prstDash val="solid"/>
            </a:ln>
          </c:spPr>
          <c:marker>
            <c:symbol val="square"/>
            <c:size val="3"/>
            <c:spPr>
              <a:solidFill>
                <a:srgbClr val="003300"/>
              </a:solidFill>
              <a:ln>
                <a:solidFill>
                  <a:srgbClr val="0033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[0]!ChartRange_IP_Soda_Ash</c:f>
              <c:numCache>
                <c:formatCode>_(* #,##0_);_(* \(#,##0\);_(* "-"??_);_(@_)</c:formatCode>
                <c:ptCount val="31"/>
                <c:pt idx="0">
                  <c:v>124299.1119565573</c:v>
                </c:pt>
                <c:pt idx="1">
                  <c:v>119163.26934216573</c:v>
                </c:pt>
                <c:pt idx="2">
                  <c:v>118394.70275385928</c:v>
                </c:pt>
                <c:pt idx="3">
                  <c:v>118640.75105401847</c:v>
                </c:pt>
                <c:pt idx="4">
                  <c:v>117596.82394957733</c:v>
                </c:pt>
                <c:pt idx="5">
                  <c:v>121556.39417849797</c:v>
                </c:pt>
                <c:pt idx="6">
                  <c:v>119231.57045382039</c:v>
                </c:pt>
                <c:pt idx="7">
                  <c:v>120286.02869369421</c:v>
                </c:pt>
                <c:pt idx="8">
                  <c:v>121018.36335295196</c:v>
                </c:pt>
                <c:pt idx="9">
                  <c:v>118157.56801863019</c:v>
                </c:pt>
                <c:pt idx="10">
                  <c:v>116913.14319189558</c:v>
                </c:pt>
                <c:pt idx="11">
                  <c:v>115996.11058387042</c:v>
                </c:pt>
                <c:pt idx="12">
                  <c:v>116164.59572440165</c:v>
                </c:pt>
                <c:pt idx="13">
                  <c:v>112599.97040415298</c:v>
                </c:pt>
                <c:pt idx="14">
                  <c:v>111648.5843412403</c:v>
                </c:pt>
                <c:pt idx="15">
                  <c:v>109685.48592605455</c:v>
                </c:pt>
                <c:pt idx="16">
                  <c:v>107361.14262653512</c:v>
                </c:pt>
                <c:pt idx="17">
                  <c:v>103913.03202855075</c:v>
                </c:pt>
                <c:pt idx="18">
                  <c:v>99105.052043979071</c:v>
                </c:pt>
                <c:pt idx="19">
                  <c:v>86851.591820276124</c:v>
                </c:pt>
                <c:pt idx="20">
                  <c:v>90924.916187035022</c:v>
                </c:pt>
                <c:pt idx="21">
                  <c:v>88144.237361334934</c:v>
                </c:pt>
                <c:pt idx="22">
                  <c:v>86275.030563579901</c:v>
                </c:pt>
                <c:pt idx="23">
                  <c:v>86593.821415720216</c:v>
                </c:pt>
                <c:pt idx="24">
                  <c:v>86729.619793191552</c:v>
                </c:pt>
                <c:pt idx="25">
                  <c:v>82894.747044851043</c:v>
                </c:pt>
                <c:pt idx="26">
                  <c:v>84293.736122893199</c:v>
                </c:pt>
                <c:pt idx="27">
                  <c:v>80095.898521708732</c:v>
                </c:pt>
                <c:pt idx="28">
                  <c:v>78458.681628581602</c:v>
                </c:pt>
                <c:pt idx="29">
                  <c:v>75522.754585339339</c:v>
                </c:pt>
                <c:pt idx="30">
                  <c:v>70394.234984123948</c:v>
                </c:pt>
              </c:numCache>
            </c:numRef>
          </c:val>
          <c:smooth val="0"/>
          <c:extLst>
            <c:ext xmlns:c16="http://schemas.microsoft.com/office/drawing/2014/chart" uri="{C3380CC4-5D6E-409C-BE32-E72D297353CC}">
              <c16:uniqueId val="{00000003-CE53-4EB8-8A76-BF1BC1930F62}"/>
            </c:ext>
          </c:extLst>
        </c:ser>
        <c:ser>
          <c:idx val="4"/>
          <c:order val="4"/>
          <c:tx>
            <c:strRef>
              <c:f>IP!$B$9</c:f>
              <c:strCache>
                <c:ptCount val="1"/>
                <c:pt idx="0">
                  <c:v>Aluminum Production, CO2</c:v>
                </c:pt>
              </c:strCache>
            </c:strRef>
          </c:tx>
          <c:spPr>
            <a:ln w="12700">
              <a:solidFill>
                <a:srgbClr val="993300"/>
              </a:solidFill>
              <a:prstDash val="solid"/>
            </a:ln>
          </c:spPr>
          <c:marker>
            <c:symbol val="square"/>
            <c:size val="3"/>
            <c:spPr>
              <a:solidFill>
                <a:srgbClr val="993300"/>
              </a:solidFill>
              <a:ln>
                <a:solidFill>
                  <a:srgbClr val="9933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[0]!ChartRange_IP_Aluminum_Production_CO2</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4-CE53-4EB8-8A76-BF1BC1930F62}"/>
            </c:ext>
          </c:extLst>
        </c:ser>
        <c:ser>
          <c:idx val="6"/>
          <c:order val="5"/>
          <c:tx>
            <c:strRef>
              <c:f>IP!$B$10</c:f>
              <c:strCache>
                <c:ptCount val="1"/>
                <c:pt idx="0">
                  <c:v>Iron &amp; Steel Production</c:v>
                </c:pt>
              </c:strCache>
            </c:strRef>
          </c:tx>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[0]!ChartRange_IP_Iron_Steel_Production</c:f>
              <c:numCache>
                <c:formatCode>_(* #,##0_);_(* \(#,##0\);_(* "-"??_);_(@_)</c:formatCode>
                <c:ptCount val="31"/>
                <c:pt idx="0">
                  <c:v>0</c:v>
                </c:pt>
                <c:pt idx="1">
                  <c:v>0</c:v>
                </c:pt>
                <c:pt idx="2">
                  <c:v>0</c:v>
                </c:pt>
                <c:pt idx="3">
                  <c:v>0</c:v>
                </c:pt>
                <c:pt idx="4">
                  <c:v>0</c:v>
                </c:pt>
                <c:pt idx="5">
                  <c:v>0</c:v>
                </c:pt>
                <c:pt idx="6">
                  <c:v>0</c:v>
                </c:pt>
                <c:pt idx="7">
                  <c:v>6661883.3536474966</c:v>
                </c:pt>
                <c:pt idx="8">
                  <c:v>6126773.554248061</c:v>
                </c:pt>
                <c:pt idx="9">
                  <c:v>5608398.2947120797</c:v>
                </c:pt>
                <c:pt idx="10">
                  <c:v>5250541.0277191587</c:v>
                </c:pt>
                <c:pt idx="11">
                  <c:v>4126206.7547546262</c:v>
                </c:pt>
                <c:pt idx="12">
                  <c:v>4966100.2579413913</c:v>
                </c:pt>
                <c:pt idx="13">
                  <c:v>5339777.209931598</c:v>
                </c:pt>
                <c:pt idx="14">
                  <c:v>3209462.2877874966</c:v>
                </c:pt>
                <c:pt idx="15">
                  <c:v>3145333.8831410659</c:v>
                </c:pt>
                <c:pt idx="16">
                  <c:v>2903435.5132302232</c:v>
                </c:pt>
                <c:pt idx="17">
                  <c:v>2740322.9377804198</c:v>
                </c:pt>
                <c:pt idx="18">
                  <c:v>2600998.2721987814</c:v>
                </c:pt>
                <c:pt idx="19">
                  <c:v>1253030.783882645</c:v>
                </c:pt>
                <c:pt idx="20">
                  <c:v>2611331.8466154481</c:v>
                </c:pt>
                <c:pt idx="21">
                  <c:v>2611331.8466154481</c:v>
                </c:pt>
                <c:pt idx="22">
                  <c:v>2611331.8466154481</c:v>
                </c:pt>
                <c:pt idx="23">
                  <c:v>2611331.8466154481</c:v>
                </c:pt>
                <c:pt idx="24">
                  <c:v>2611331.8466154481</c:v>
                </c:pt>
                <c:pt idx="25">
                  <c:v>2611331.8466154481</c:v>
                </c:pt>
                <c:pt idx="26">
                  <c:v>2611331.8466154481</c:v>
                </c:pt>
                <c:pt idx="27">
                  <c:v>2611331.8466154481</c:v>
                </c:pt>
                <c:pt idx="28">
                  <c:v>2611331.8466154481</c:v>
                </c:pt>
                <c:pt idx="29">
                  <c:v>2611331.8466154481</c:v>
                </c:pt>
                <c:pt idx="30">
                  <c:v>2611331.8466154481</c:v>
                </c:pt>
              </c:numCache>
            </c:numRef>
          </c:val>
          <c:smooth val="0"/>
          <c:extLst>
            <c:ext xmlns:c16="http://schemas.microsoft.com/office/drawing/2014/chart" uri="{C3380CC4-5D6E-409C-BE32-E72D297353CC}">
              <c16:uniqueId val="{00000005-CE53-4EB8-8A76-BF1BC1930F62}"/>
            </c:ext>
          </c:extLst>
        </c:ser>
        <c:ser>
          <c:idx val="7"/>
          <c:order val="6"/>
          <c:tx>
            <c:strRef>
              <c:f>IP!$B$11</c:f>
              <c:strCache>
                <c:ptCount val="1"/>
                <c:pt idx="0">
                  <c:v>Ammonia Production</c:v>
                </c:pt>
              </c:strCache>
            </c:strRef>
          </c:tx>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[0]!ChartRange_IP_Ammonia_Production</c:f>
              <c:numCache>
                <c:formatCode>_(* #,##0_);_(* \(#,##0\);_(* "-"??_);_(@_)</c:formatCode>
                <c:ptCount val="31"/>
                <c:pt idx="0">
                  <c:v>190789.76901713302</c:v>
                </c:pt>
                <c:pt idx="1">
                  <c:v>191200.21699005662</c:v>
                </c:pt>
                <c:pt idx="2">
                  <c:v>200804.29110565718</c:v>
                </c:pt>
                <c:pt idx="3">
                  <c:v>218990.09481182171</c:v>
                </c:pt>
                <c:pt idx="4">
                  <c:v>247717.99529800651</c:v>
                </c:pt>
                <c:pt idx="5">
                  <c:v>240979.09201777336</c:v>
                </c:pt>
                <c:pt idx="6">
                  <c:v>248634.18260651786</c:v>
                </c:pt>
                <c:pt idx="7">
                  <c:v>236627.48036807805</c:v>
                </c:pt>
                <c:pt idx="8">
                  <c:v>262731.98704371008</c:v>
                </c:pt>
                <c:pt idx="9">
                  <c:v>260273.25149602169</c:v>
                </c:pt>
                <c:pt idx="10">
                  <c:v>224610.90471594088</c:v>
                </c:pt>
                <c:pt idx="11">
                  <c:v>164525.98679905635</c:v>
                </c:pt>
                <c:pt idx="12">
                  <c:v>196764.89073884871</c:v>
                </c:pt>
                <c:pt idx="13">
                  <c:v>172994.10413565193</c:v>
                </c:pt>
                <c:pt idx="14">
                  <c:v>191185.77311747195</c:v>
                </c:pt>
                <c:pt idx="15">
                  <c:v>188511.48718488018</c:v>
                </c:pt>
                <c:pt idx="16">
                  <c:v>205750.1863642378</c:v>
                </c:pt>
                <c:pt idx="17">
                  <c:v>204703.13006204448</c:v>
                </c:pt>
                <c:pt idx="18">
                  <c:v>188490.74856565596</c:v>
                </c:pt>
                <c:pt idx="19">
                  <c:v>184629.26495569825</c:v>
                </c:pt>
                <c:pt idx="20">
                  <c:v>201379.91778937861</c:v>
                </c:pt>
                <c:pt idx="21">
                  <c:v>233447.9726262686</c:v>
                </c:pt>
                <c:pt idx="22">
                  <c:v>238237.16973822514</c:v>
                </c:pt>
                <c:pt idx="23">
                  <c:v>244587.77671202214</c:v>
                </c:pt>
                <c:pt idx="24">
                  <c:v>286355.22190440976</c:v>
                </c:pt>
                <c:pt idx="25">
                  <c:v>294104.30547359254</c:v>
                </c:pt>
                <c:pt idx="26">
                  <c:v>249710.09845034417</c:v>
                </c:pt>
                <c:pt idx="27">
                  <c:v>267472.2415945495</c:v>
                </c:pt>
                <c:pt idx="28">
                  <c:v>289811.74418088445</c:v>
                </c:pt>
                <c:pt idx="29">
                  <c:v>298724.09204079455</c:v>
                </c:pt>
                <c:pt idx="30">
                  <c:v>289659.86009976512</c:v>
                </c:pt>
              </c:numCache>
            </c:numRef>
          </c:val>
          <c:smooth val="0"/>
          <c:extLst>
            <c:ext xmlns:c16="http://schemas.microsoft.com/office/drawing/2014/chart" uri="{C3380CC4-5D6E-409C-BE32-E72D297353CC}">
              <c16:uniqueId val="{00000006-CE53-4EB8-8A76-BF1BC1930F62}"/>
            </c:ext>
          </c:extLst>
        </c:ser>
        <c:ser>
          <c:idx val="8"/>
          <c:order val="7"/>
          <c:tx>
            <c:strRef>
              <c:f>IP!$B$12</c:f>
              <c:strCache>
                <c:ptCount val="1"/>
                <c:pt idx="0">
                  <c:v>Urea Consumption</c:v>
                </c:pt>
              </c:strCache>
            </c:strRef>
          </c:tx>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[0]!ChartRange_IP_Urea_Consumption</c:f>
              <c:numCache>
                <c:formatCode>_(* #,##0_);_(* \(#,##0\);_(* "-"??_);_(@_)</c:formatCode>
                <c:ptCount val="31"/>
                <c:pt idx="0">
                  <c:v>17593.547080764252</c:v>
                </c:pt>
                <c:pt idx="1">
                  <c:v>15195.446966582935</c:v>
                </c:pt>
                <c:pt idx="2">
                  <c:v>14392.734916647638</c:v>
                </c:pt>
                <c:pt idx="3">
                  <c:v>14416.747857197233</c:v>
                </c:pt>
                <c:pt idx="4">
                  <c:v>12265.836553246554</c:v>
                </c:pt>
                <c:pt idx="5">
                  <c:v>11618.271492730455</c:v>
                </c:pt>
                <c:pt idx="6">
                  <c:v>10301.465403060058</c:v>
                </c:pt>
                <c:pt idx="7">
                  <c:v>9234.3911243053972</c:v>
                </c:pt>
                <c:pt idx="8">
                  <c:v>10461.233295272894</c:v>
                </c:pt>
                <c:pt idx="9">
                  <c:v>8224.5210017507816</c:v>
                </c:pt>
                <c:pt idx="10">
                  <c:v>8514.9410215422085</c:v>
                </c:pt>
                <c:pt idx="11">
                  <c:v>9685.6485651214134</c:v>
                </c:pt>
                <c:pt idx="12">
                  <c:v>8877.5773920986521</c:v>
                </c:pt>
                <c:pt idx="13">
                  <c:v>8298.5834969932257</c:v>
                </c:pt>
                <c:pt idx="14">
                  <c:v>7506.6874628910709</c:v>
                </c:pt>
                <c:pt idx="15">
                  <c:v>8390.4236431453155</c:v>
                </c:pt>
                <c:pt idx="16">
                  <c:v>9280.8226079013475</c:v>
                </c:pt>
                <c:pt idx="17">
                  <c:v>8190.6077947781077</c:v>
                </c:pt>
                <c:pt idx="18">
                  <c:v>9103.2907208647339</c:v>
                </c:pt>
                <c:pt idx="19">
                  <c:v>8696.5422242521126</c:v>
                </c:pt>
                <c:pt idx="20">
                  <c:v>6821.8438608510305</c:v>
                </c:pt>
                <c:pt idx="21">
                  <c:v>9099.4612773083663</c:v>
                </c:pt>
                <c:pt idx="22">
                  <c:v>9620.5323894344237</c:v>
                </c:pt>
                <c:pt idx="23">
                  <c:v>9702.497602192283</c:v>
                </c:pt>
                <c:pt idx="24">
                  <c:v>9431.231529268478</c:v>
                </c:pt>
                <c:pt idx="25">
                  <c:v>9924.8572733500805</c:v>
                </c:pt>
                <c:pt idx="26">
                  <c:v>10847.036285301037</c:v>
                </c:pt>
                <c:pt idx="27">
                  <c:v>10432.971675592727</c:v>
                </c:pt>
                <c:pt idx="28">
                  <c:v>10678.329557062194</c:v>
                </c:pt>
                <c:pt idx="29">
                  <c:v>10923.687438531659</c:v>
                </c:pt>
                <c:pt idx="30">
                  <c:v>11169.045320001032</c:v>
                </c:pt>
              </c:numCache>
            </c:numRef>
          </c:val>
          <c:smooth val="0"/>
          <c:extLst>
            <c:ext xmlns:c16="http://schemas.microsoft.com/office/drawing/2014/chart" uri="{C3380CC4-5D6E-409C-BE32-E72D297353CC}">
              <c16:uniqueId val="{00000007-CE53-4EB8-8A76-BF1BC1930F62}"/>
            </c:ext>
          </c:extLst>
        </c:ser>
        <c:ser>
          <c:idx val="0"/>
          <c:order val="8"/>
          <c:tx>
            <c:strRef>
              <c:f>IP!$B$23</c:f>
              <c:strCache>
                <c:ptCount val="1"/>
                <c:pt idx="0">
                  <c:v>Additional Carbon Dioxide Emissions</c:v>
                </c:pt>
              </c:strCache>
            </c:strRef>
          </c:tx>
          <c:spPr>
            <a:ln w="12700"/>
          </c:spPr>
          <c:marker>
            <c:spPr>
              <a:ln w="12700"/>
            </c:spPr>
          </c:marker>
          <c:val>
            <c:numRef>
              <c:f>IP!$C$23:$AF$23</c:f>
              <c:numCache>
                <c:formatCode>_(* #,##0_);_(* \(#,##0\);_(* "-"??_);_(@_)</c:formatCode>
                <c:ptCount val="30"/>
              </c:numCache>
            </c:numRef>
          </c:val>
          <c:smooth val="0"/>
          <c:extLst>
            <c:ext xmlns:c16="http://schemas.microsoft.com/office/drawing/2014/chart" uri="{C3380CC4-5D6E-409C-BE32-E72D297353CC}">
              <c16:uniqueId val="{00000001-4FB8-42F5-BE18-8D40C101967E}"/>
            </c:ext>
          </c:extLst>
        </c:ser>
        <c:dLbls>
          <c:showLegendKey val="0"/>
          <c:showVal val="0"/>
          <c:showCatName val="0"/>
          <c:showSerName val="0"/>
          <c:showPercent val="0"/>
          <c:showBubbleSize val="0"/>
        </c:dLbls>
        <c:marker val="1"/>
        <c:smooth val="0"/>
        <c:axId val="219408400"/>
        <c:axId val="219408792"/>
      </c:lineChart>
      <c:catAx>
        <c:axId val="219408400"/>
        <c:scaling>
          <c:orientation val="minMax"/>
        </c:scaling>
        <c:delete val="0"/>
        <c:axPos val="b"/>
        <c:title>
          <c:tx>
            <c:rich>
              <a:bodyPr/>
              <a:lstStyle/>
              <a:p>
                <a:pPr>
                  <a:defRPr sz="800" b="1" i="0" u="none" strike="noStrike" baseline="0">
                    <a:solidFill>
                      <a:srgbClr val="000000"/>
                    </a:solidFill>
                    <a:latin typeface="Comic Sans MS"/>
                    <a:ea typeface="Comic Sans MS"/>
                    <a:cs typeface="Comic Sans MS"/>
                  </a:defRPr>
                </a:pPr>
                <a:r>
                  <a:rPr lang="en-US"/>
                  <a:t>Year</a:t>
                </a:r>
              </a:p>
            </c:rich>
          </c:tx>
          <c:layout>
            <c:manualLayout>
              <c:xMode val="edge"/>
              <c:yMode val="edge"/>
              <c:x val="0.49883216713723705"/>
              <c:y val="0.91314995939408916"/>
            </c:manualLayout>
          </c:layout>
          <c:overlay val="0"/>
          <c:spPr>
            <a:noFill/>
            <a:ln w="25400">
              <a:noFill/>
            </a:ln>
          </c:spPr>
        </c:title>
        <c:numFmt formatCode="General" sourceLinked="1"/>
        <c:majorTickMark val="out"/>
        <c:minorTickMark val="none"/>
        <c:tickLblPos val="nextTo"/>
        <c:spPr>
          <a:ln w="9525">
            <a:noFill/>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408792"/>
        <c:crosses val="autoZero"/>
        <c:auto val="1"/>
        <c:lblAlgn val="ctr"/>
        <c:lblOffset val="100"/>
        <c:tickLblSkip val="1"/>
        <c:tickMarkSkip val="1"/>
        <c:noMultiLvlLbl val="0"/>
      </c:catAx>
      <c:valAx>
        <c:axId val="219408792"/>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Emissions (MTCO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9.345808861006711E-3"/>
              <c:y val="0.34105971128608925"/>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408400"/>
        <c:crosses val="autoZero"/>
        <c:crossBetween val="between"/>
      </c:valAx>
      <c:spPr>
        <a:noFill/>
        <a:ln w="25400">
          <a:noFill/>
        </a:ln>
      </c:spPr>
    </c:plotArea>
    <c:legend>
      <c:legendPos val="t"/>
      <c:layout>
        <c:manualLayout>
          <c:xMode val="edge"/>
          <c:yMode val="edge"/>
          <c:x val="4.2362672371966864E-2"/>
          <c:y val="0.14226475053846968"/>
          <c:w val="0.91972899824047616"/>
          <c:h val="0.16792592069489071"/>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IP!$W$32</c:f>
          <c:strCache>
            <c:ptCount val="1"/>
            <c:pt idx="0">
              <c:v>Nitrous Oxide Emissions, 1990-2020</c:v>
            </c:pt>
          </c:strCache>
        </c:strRef>
      </c:tx>
      <c:layout>
        <c:manualLayout>
          <c:xMode val="edge"/>
          <c:yMode val="edge"/>
          <c:x val="0.33252424537584363"/>
          <c:y val="3.6544854970051818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2013032013689703"/>
          <c:y val="0.29235927825100944"/>
          <c:w val="0.79276016832002738"/>
          <c:h val="0.47176156263231067"/>
        </c:manualLayout>
      </c:layout>
      <c:lineChart>
        <c:grouping val="standard"/>
        <c:varyColors val="0"/>
        <c:ser>
          <c:idx val="0"/>
          <c:order val="0"/>
          <c:tx>
            <c:strRef>
              <c:f>IP!$B$14</c:f>
              <c:strCache>
                <c:ptCount val="1"/>
                <c:pt idx="0">
                  <c:v>Nitric Acid Production</c:v>
                </c:pt>
              </c:strCache>
            </c:strRef>
          </c:tx>
          <c:spPr>
            <a:ln w="12700">
              <a:solidFill>
                <a:srgbClr val="000080"/>
              </a:solidFill>
              <a:prstDash val="solid"/>
            </a:ln>
          </c:spPr>
          <c:marker>
            <c:symbol val="diamond"/>
            <c:size val="3"/>
            <c:spPr>
              <a:solidFill>
                <a:srgbClr val="000080"/>
              </a:solidFill>
              <a:ln>
                <a:solidFill>
                  <a:srgbClr val="00008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[0]!ChartRange_IP_Nitric_Acid_Production</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51E3-4A1F-AEE0-B882BE75458C}"/>
            </c:ext>
          </c:extLst>
        </c:ser>
        <c:ser>
          <c:idx val="1"/>
          <c:order val="1"/>
          <c:tx>
            <c:strRef>
              <c:f>IP!$B$15</c:f>
              <c:strCache>
                <c:ptCount val="1"/>
                <c:pt idx="0">
                  <c:v>Adipic Acid Production</c:v>
                </c:pt>
              </c:strCache>
            </c:strRef>
          </c:tx>
          <c:spPr>
            <a:ln w="12700">
              <a:solidFill>
                <a:srgbClr val="FF0000"/>
              </a:solidFill>
              <a:prstDash val="solid"/>
            </a:ln>
          </c:spPr>
          <c:marker>
            <c:symbol val="triangle"/>
            <c:size val="3"/>
            <c:spPr>
              <a:solidFill>
                <a:srgbClr val="FF0000"/>
              </a:solidFill>
              <a:ln>
                <a:solidFill>
                  <a:srgbClr val="FF00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[0]!ChartRange_IP_Adipic_Acid_Production</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1-51E3-4A1F-AEE0-B882BE75458C}"/>
            </c:ext>
          </c:extLst>
        </c:ser>
        <c:ser>
          <c:idx val="2"/>
          <c:order val="2"/>
          <c:tx>
            <c:strRef>
              <c:f>IP!$B$24</c:f>
              <c:strCache>
                <c:ptCount val="1"/>
                <c:pt idx="0">
                  <c:v>Additional Nitrous Oxide Emissions</c:v>
                </c:pt>
              </c:strCache>
            </c:strRef>
          </c:tx>
          <c:spPr>
            <a:ln w="12700"/>
          </c:spPr>
          <c:marker>
            <c:spPr>
              <a:ln w="12700"/>
            </c:spPr>
          </c:marker>
          <c:val>
            <c:numRef>
              <c:f>IP!$C$24:$AF$24</c:f>
              <c:numCache>
                <c:formatCode>_(* #,##0_);_(* \(#,##0\);_(* "-"??_);_(@_)</c:formatCode>
                <c:ptCount val="30"/>
              </c:numCache>
            </c:numRef>
          </c:val>
          <c:smooth val="0"/>
          <c:extLst>
            <c:ext xmlns:c16="http://schemas.microsoft.com/office/drawing/2014/chart" uri="{C3380CC4-5D6E-409C-BE32-E72D297353CC}">
              <c16:uniqueId val="{00000001-3872-45F7-8E30-65F8FEEFE90C}"/>
            </c:ext>
          </c:extLst>
        </c:ser>
        <c:dLbls>
          <c:showLegendKey val="0"/>
          <c:showVal val="0"/>
          <c:showCatName val="0"/>
          <c:showSerName val="0"/>
          <c:showPercent val="0"/>
          <c:showBubbleSize val="0"/>
        </c:dLbls>
        <c:marker val="1"/>
        <c:smooth val="0"/>
        <c:axId val="219409576"/>
        <c:axId val="219409968"/>
      </c:lineChart>
      <c:catAx>
        <c:axId val="219409576"/>
        <c:scaling>
          <c:orientation val="minMax"/>
        </c:scaling>
        <c:delete val="0"/>
        <c:axPos val="b"/>
        <c:title>
          <c:tx>
            <c:rich>
              <a:bodyPr/>
              <a:lstStyle/>
              <a:p>
                <a:pPr>
                  <a:defRPr sz="800" b="1" i="0" u="none" strike="noStrike" baseline="0">
                    <a:solidFill>
                      <a:srgbClr val="000000"/>
                    </a:solidFill>
                    <a:latin typeface="Comic Sans MS"/>
                    <a:ea typeface="Comic Sans MS"/>
                    <a:cs typeface="Comic Sans MS"/>
                  </a:defRPr>
                </a:pPr>
                <a:r>
                  <a:rPr lang="en-US"/>
                  <a:t>Year</a:t>
                </a:r>
              </a:p>
            </c:rich>
          </c:tx>
          <c:layout>
            <c:manualLayout>
              <c:xMode val="edge"/>
              <c:yMode val="edge"/>
              <c:x val="0.47330096485814627"/>
              <c:y val="0.89036678107544254"/>
            </c:manualLayout>
          </c:layout>
          <c:overlay val="0"/>
          <c:spPr>
            <a:noFill/>
            <a:ln w="25400">
              <a:noFill/>
            </a:ln>
          </c:spPr>
        </c:title>
        <c:numFmt formatCode="General" sourceLinked="1"/>
        <c:majorTickMark val="out"/>
        <c:minorTickMark val="none"/>
        <c:tickLblPos val="nextTo"/>
        <c:spPr>
          <a:ln w="9525">
            <a:noFill/>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409968"/>
        <c:crosses val="autoZero"/>
        <c:auto val="1"/>
        <c:lblAlgn val="ctr"/>
        <c:lblOffset val="100"/>
        <c:tickLblSkip val="1"/>
        <c:tickMarkSkip val="1"/>
        <c:noMultiLvlLbl val="0"/>
      </c:catAx>
      <c:valAx>
        <c:axId val="21940996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Emissions (MTCO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9.7086837233164563E-3"/>
              <c:y val="0.34219328353186618"/>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Comic Sans MS"/>
                <a:ea typeface="Comic Sans MS"/>
                <a:cs typeface="Comic Sans MS"/>
              </a:defRPr>
            </a:pPr>
            <a:endParaRPr lang="en-US"/>
          </a:p>
        </c:txPr>
        <c:crossAx val="219409576"/>
        <c:crosses val="autoZero"/>
        <c:crossBetween val="between"/>
      </c:valAx>
      <c:spPr>
        <a:noFill/>
        <a:ln w="25400">
          <a:noFill/>
        </a:ln>
      </c:spPr>
    </c:plotArea>
    <c:legend>
      <c:legendPos val="r"/>
      <c:layout>
        <c:manualLayout>
          <c:xMode val="edge"/>
          <c:yMode val="edge"/>
          <c:x val="8.3719496202871002E-2"/>
          <c:y val="0.15801380526584091"/>
          <c:w val="0.916280503797129"/>
          <c:h val="0.11714438065444979"/>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IP!$W$33</c:f>
          <c:strCache>
            <c:ptCount val="1"/>
            <c:pt idx="0">
              <c:v>High GWP Emissions, 1990-2020</c:v>
            </c:pt>
          </c:strCache>
        </c:strRef>
      </c:tx>
      <c:layout>
        <c:manualLayout>
          <c:xMode val="edge"/>
          <c:yMode val="edge"/>
          <c:x val="0.3532167157449268"/>
          <c:y val="1.65562424901490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8245788896641068E-2"/>
          <c:y val="0.34610094346314818"/>
          <c:w val="0.82924071322267134"/>
          <c:h val="0.45033112582781459"/>
        </c:manualLayout>
      </c:layout>
      <c:lineChart>
        <c:grouping val="standard"/>
        <c:varyColors val="0"/>
        <c:ser>
          <c:idx val="0"/>
          <c:order val="0"/>
          <c:tx>
            <c:strRef>
              <c:f>IP!$B$17</c:f>
              <c:strCache>
                <c:ptCount val="1"/>
                <c:pt idx="0">
                  <c:v>ODS Substitutes</c:v>
                </c:pt>
              </c:strCache>
            </c:strRef>
          </c:tx>
          <c:spPr>
            <a:ln w="12700">
              <a:solidFill>
                <a:srgbClr val="000080"/>
              </a:solidFill>
              <a:prstDash val="solid"/>
            </a:ln>
          </c:spPr>
          <c:marker>
            <c:symbol val="diamond"/>
            <c:size val="3"/>
            <c:spPr>
              <a:solidFill>
                <a:srgbClr val="000080"/>
              </a:solidFill>
              <a:ln>
                <a:solidFill>
                  <a:srgbClr val="00008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[0]!ChartRange_IP_ODS_Substitutes</c:f>
              <c:numCache>
                <c:formatCode>_(* #,##0_);_(* \(#,##0\);_(* "-"??_);_(@_)</c:formatCode>
                <c:ptCount val="31"/>
                <c:pt idx="0">
                  <c:v>9628.4555172379714</c:v>
                </c:pt>
                <c:pt idx="1">
                  <c:v>20195.071913179134</c:v>
                </c:pt>
                <c:pt idx="2">
                  <c:v>78648.920441594921</c:v>
                </c:pt>
                <c:pt idx="3">
                  <c:v>283553.83493437927</c:v>
                </c:pt>
                <c:pt idx="4">
                  <c:v>704202.47327735892</c:v>
                </c:pt>
                <c:pt idx="5">
                  <c:v>1540640.5020427508</c:v>
                </c:pt>
                <c:pt idx="6">
                  <c:v>2142721.7280788533</c:v>
                </c:pt>
                <c:pt idx="7">
                  <c:v>2711699.1274071583</c:v>
                </c:pt>
                <c:pt idx="8">
                  <c:v>3110926.5854657772</c:v>
                </c:pt>
                <c:pt idx="9">
                  <c:v>3531232.482383165</c:v>
                </c:pt>
                <c:pt idx="10">
                  <c:v>3886869.7266463833</c:v>
                </c:pt>
                <c:pt idx="11">
                  <c:v>4222497.747881908</c:v>
                </c:pt>
                <c:pt idx="12">
                  <c:v>4448283.7270780439</c:v>
                </c:pt>
                <c:pt idx="13">
                  <c:v>4646920.7270641727</c:v>
                </c:pt>
                <c:pt idx="14">
                  <c:v>4815983.2538815979</c:v>
                </c:pt>
                <c:pt idx="15">
                  <c:v>5000993.8708583638</c:v>
                </c:pt>
                <c:pt idx="16">
                  <c:v>5281892.19470526</c:v>
                </c:pt>
                <c:pt idx="17">
                  <c:v>5606078.4757160079</c:v>
                </c:pt>
                <c:pt idx="18">
                  <c:v>5968398.2519978797</c:v>
                </c:pt>
                <c:pt idx="19">
                  <c:v>5214630.035257576</c:v>
                </c:pt>
                <c:pt idx="20">
                  <c:v>6664387.0791723635</c:v>
                </c:pt>
                <c:pt idx="21">
                  <c:v>6508063.2330194898</c:v>
                </c:pt>
                <c:pt idx="22">
                  <c:v>6981440.1628695223</c:v>
                </c:pt>
                <c:pt idx="23">
                  <c:v>6238003.1160673164</c:v>
                </c:pt>
                <c:pt idx="24">
                  <c:v>5991048.9892956847</c:v>
                </c:pt>
                <c:pt idx="25">
                  <c:v>6102386.4282129407</c:v>
                </c:pt>
                <c:pt idx="26">
                  <c:v>6077448.1144197462</c:v>
                </c:pt>
                <c:pt idx="27">
                  <c:v>6001697.6425580811</c:v>
                </c:pt>
                <c:pt idx="28">
                  <c:v>5985187.6383666098</c:v>
                </c:pt>
                <c:pt idx="29">
                  <c:v>6063337.7180632874</c:v>
                </c:pt>
                <c:pt idx="30">
                  <c:v>6131751.2453260263</c:v>
                </c:pt>
              </c:numCache>
            </c:numRef>
          </c:val>
          <c:smooth val="0"/>
          <c:extLst>
            <c:ext xmlns:c16="http://schemas.microsoft.com/office/drawing/2014/chart" uri="{C3380CC4-5D6E-409C-BE32-E72D297353CC}">
              <c16:uniqueId val="{00000000-7CD5-4A34-BFA4-AC1EB00B8F7E}"/>
            </c:ext>
          </c:extLst>
        </c:ser>
        <c:ser>
          <c:idx val="1"/>
          <c:order val="1"/>
          <c:tx>
            <c:strRef>
              <c:f>IP!$B$18</c:f>
              <c:strCache>
                <c:ptCount val="1"/>
                <c:pt idx="0">
                  <c:v>Semiconductor Manufacturing</c:v>
                </c:pt>
              </c:strCache>
            </c:strRef>
          </c:tx>
          <c:spPr>
            <a:ln w="12700">
              <a:solidFill>
                <a:srgbClr val="FF9900"/>
              </a:solidFill>
              <a:prstDash val="solid"/>
            </a:ln>
          </c:spPr>
          <c:marker>
            <c:symbol val="triangle"/>
            <c:size val="3"/>
            <c:spPr>
              <a:solidFill>
                <a:srgbClr val="FF9900"/>
              </a:solidFill>
              <a:ln>
                <a:solidFill>
                  <a:srgbClr val="FF99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[0]!ChartRange_IP_Semiconductor_Manufacturing</c:f>
              <c:numCache>
                <c:formatCode>_(* #,##0_);_(* \(#,##0\);_(* "-"??_);_(@_)</c:formatCode>
                <c:ptCount val="31"/>
                <c:pt idx="0">
                  <c:v>2602.7185823384193</c:v>
                </c:pt>
                <c:pt idx="1">
                  <c:v>2602.9128365356605</c:v>
                </c:pt>
                <c:pt idx="2">
                  <c:v>2603.1070907329017</c:v>
                </c:pt>
                <c:pt idx="3">
                  <c:v>3253.9809905147486</c:v>
                </c:pt>
                <c:pt idx="4">
                  <c:v>3579.5150675042923</c:v>
                </c:pt>
                <c:pt idx="5">
                  <c:v>4521.7497292224798</c:v>
                </c:pt>
                <c:pt idx="6">
                  <c:v>5021.3220932613694</c:v>
                </c:pt>
                <c:pt idx="7">
                  <c:v>5306.6615180320978</c:v>
                </c:pt>
                <c:pt idx="8">
                  <c:v>18825.636075241749</c:v>
                </c:pt>
                <c:pt idx="9">
                  <c:v>32795.908881251336</c:v>
                </c:pt>
                <c:pt idx="10">
                  <c:v>40024.303919808364</c:v>
                </c:pt>
                <c:pt idx="11">
                  <c:v>38256.677605465135</c:v>
                </c:pt>
                <c:pt idx="12">
                  <c:v>50621.468472266715</c:v>
                </c:pt>
                <c:pt idx="13">
                  <c:v>37888.619395227746</c:v>
                </c:pt>
                <c:pt idx="14">
                  <c:v>26681.986369977429</c:v>
                </c:pt>
                <c:pt idx="15">
                  <c:v>17078.404081086741</c:v>
                </c:pt>
                <c:pt idx="16">
                  <c:v>10461.767557938654</c:v>
                </c:pt>
                <c:pt idx="17">
                  <c:v>2507.4709586872159</c:v>
                </c:pt>
                <c:pt idx="18">
                  <c:v>8839.7862249641239</c:v>
                </c:pt>
                <c:pt idx="19">
                  <c:v>11894.82139944176</c:v>
                </c:pt>
                <c:pt idx="20">
                  <c:v>23217.680648994887</c:v>
                </c:pt>
                <c:pt idx="21">
                  <c:v>43391.967234541706</c:v>
                </c:pt>
                <c:pt idx="22">
                  <c:v>54350.191593689589</c:v>
                </c:pt>
                <c:pt idx="23">
                  <c:v>41159.838200712788</c:v>
                </c:pt>
                <c:pt idx="24">
                  <c:v>34238.863728414683</c:v>
                </c:pt>
                <c:pt idx="25">
                  <c:v>25874.897781770404</c:v>
                </c:pt>
                <c:pt idx="26">
                  <c:v>17255.05116975915</c:v>
                </c:pt>
                <c:pt idx="27">
                  <c:v>8868.414517867106</c:v>
                </c:pt>
                <c:pt idx="28">
                  <c:v>9187.5520525751563</c:v>
                </c:pt>
                <c:pt idx="29">
                  <c:v>8490.7047131354611</c:v>
                </c:pt>
                <c:pt idx="30">
                  <c:v>8443.3946018644765</c:v>
                </c:pt>
              </c:numCache>
            </c:numRef>
          </c:val>
          <c:smooth val="0"/>
          <c:extLst>
            <c:ext xmlns:c16="http://schemas.microsoft.com/office/drawing/2014/chart" uri="{C3380CC4-5D6E-409C-BE32-E72D297353CC}">
              <c16:uniqueId val="{00000001-7CD5-4A34-BFA4-AC1EB00B8F7E}"/>
            </c:ext>
          </c:extLst>
        </c:ser>
        <c:ser>
          <c:idx val="2"/>
          <c:order val="2"/>
          <c:tx>
            <c:strRef>
              <c:f>IP!$B$19</c:f>
              <c:strCache>
                <c:ptCount val="1"/>
                <c:pt idx="0">
                  <c:v>Magnesium Production</c:v>
                </c:pt>
              </c:strCache>
            </c:strRef>
          </c:tx>
          <c:spPr>
            <a:ln w="12700">
              <a:solidFill>
                <a:srgbClr val="800080"/>
              </a:solidFill>
              <a:prstDash val="solid"/>
            </a:ln>
          </c:spPr>
          <c:marker>
            <c:symbol val="square"/>
            <c:size val="3"/>
            <c:spPr>
              <a:solidFill>
                <a:srgbClr val="800080"/>
              </a:solidFill>
              <a:ln>
                <a:solidFill>
                  <a:srgbClr val="80008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[0]!ChartRange_IP_Magnesium_Production</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2-7CD5-4A34-BFA4-AC1EB00B8F7E}"/>
            </c:ext>
          </c:extLst>
        </c:ser>
        <c:ser>
          <c:idx val="3"/>
          <c:order val="3"/>
          <c:tx>
            <c:v>Electric Systems</c:v>
          </c:tx>
          <c:spPr>
            <a:ln w="12700">
              <a:solidFill>
                <a:srgbClr val="339966"/>
              </a:solidFill>
              <a:prstDash val="solid"/>
            </a:ln>
          </c:spPr>
          <c:marker>
            <c:symbol val="circle"/>
            <c:size val="3"/>
            <c:spPr>
              <a:solidFill>
                <a:srgbClr val="339966"/>
              </a:solidFill>
              <a:ln>
                <a:solidFill>
                  <a:srgbClr val="339966"/>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[0]!ChartRange_IP_Electric_Systems</c:f>
              <c:numCache>
                <c:formatCode>_(* #,##0_);_(* \(#,##0\);_(* "-"??_);_(@_)</c:formatCode>
                <c:ptCount val="31"/>
                <c:pt idx="0">
                  <c:v>981714.23419816443</c:v>
                </c:pt>
                <c:pt idx="1">
                  <c:v>967874.47573687788</c:v>
                </c:pt>
                <c:pt idx="2">
                  <c:v>928704.5878820708</c:v>
                </c:pt>
                <c:pt idx="3">
                  <c:v>910138.80916829943</c:v>
                </c:pt>
                <c:pt idx="4">
                  <c:v>862268.78313666955</c:v>
                </c:pt>
                <c:pt idx="5">
                  <c:v>804548.29215902579</c:v>
                </c:pt>
                <c:pt idx="6">
                  <c:v>713448.12300690345</c:v>
                </c:pt>
                <c:pt idx="7">
                  <c:v>649590.89007823484</c:v>
                </c:pt>
                <c:pt idx="8">
                  <c:v>552433.96286449197</c:v>
                </c:pt>
                <c:pt idx="9">
                  <c:v>561578.38138040912</c:v>
                </c:pt>
                <c:pt idx="10">
                  <c:v>515486.96706871944</c:v>
                </c:pt>
                <c:pt idx="11">
                  <c:v>495270.65454022726</c:v>
                </c:pt>
                <c:pt idx="12">
                  <c:v>445337.97105655813</c:v>
                </c:pt>
                <c:pt idx="13">
                  <c:v>398108.12286319234</c:v>
                </c:pt>
                <c:pt idx="14">
                  <c:v>368958.31619332713</c:v>
                </c:pt>
                <c:pt idx="15">
                  <c:v>340899.38003762049</c:v>
                </c:pt>
                <c:pt idx="16">
                  <c:v>281952.31757827295</c:v>
                </c:pt>
                <c:pt idx="17">
                  <c:v>250040.57914408742</c:v>
                </c:pt>
                <c:pt idx="18">
                  <c:v>244930.23996843831</c:v>
                </c:pt>
                <c:pt idx="19">
                  <c:v>231023.93262523852</c:v>
                </c:pt>
                <c:pt idx="20">
                  <c:v>225001.08307901898</c:v>
                </c:pt>
                <c:pt idx="21">
                  <c:v>228644.72931769758</c:v>
                </c:pt>
                <c:pt idx="22">
                  <c:v>185388.83180366724</c:v>
                </c:pt>
                <c:pt idx="23">
                  <c:v>173117.56614275085</c:v>
                </c:pt>
                <c:pt idx="24">
                  <c:v>180473.5990807325</c:v>
                </c:pt>
                <c:pt idx="25">
                  <c:v>142274.19374427106</c:v>
                </c:pt>
                <c:pt idx="26">
                  <c:v>157196.29785611716</c:v>
                </c:pt>
                <c:pt idx="27">
                  <c:v>158002.36998331279</c:v>
                </c:pt>
                <c:pt idx="28">
                  <c:v>146490.23348804013</c:v>
                </c:pt>
                <c:pt idx="29">
                  <c:v>158475.41077882724</c:v>
                </c:pt>
                <c:pt idx="30">
                  <c:v>139484.61222078971</c:v>
                </c:pt>
              </c:numCache>
            </c:numRef>
          </c:val>
          <c:smooth val="0"/>
          <c:extLst>
            <c:ext xmlns:c16="http://schemas.microsoft.com/office/drawing/2014/chart" uri="{C3380CC4-5D6E-409C-BE32-E72D297353CC}">
              <c16:uniqueId val="{00000003-7CD5-4A34-BFA4-AC1EB00B8F7E}"/>
            </c:ext>
          </c:extLst>
        </c:ser>
        <c:ser>
          <c:idx val="4"/>
          <c:order val="4"/>
          <c:tx>
            <c:strRef>
              <c:f>IP!$B$21</c:f>
              <c:strCache>
                <c:ptCount val="1"/>
                <c:pt idx="0">
                  <c:v>HCFC-22 Production</c:v>
                </c:pt>
              </c:strCache>
            </c:strRef>
          </c:tx>
          <c:spPr>
            <a:ln w="12700">
              <a:solidFill>
                <a:srgbClr val="FF0000"/>
              </a:solidFill>
              <a:prstDash val="solid"/>
            </a:ln>
          </c:spPr>
          <c:marker>
            <c:symbol val="x"/>
            <c:size val="4"/>
            <c:spPr>
              <a:noFill/>
              <a:ln>
                <a:solidFill>
                  <a:srgbClr val="FF00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[0]!ChartRange_IP_HCFC_22_Production</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4-7CD5-4A34-BFA4-AC1EB00B8F7E}"/>
            </c:ext>
          </c:extLst>
        </c:ser>
        <c:ser>
          <c:idx val="5"/>
          <c:order val="5"/>
          <c:tx>
            <c:strRef>
              <c:f>IP!$B$22</c:f>
              <c:strCache>
                <c:ptCount val="1"/>
                <c:pt idx="0">
                  <c:v>Aluminum Production, PFCs</c:v>
                </c:pt>
              </c:strCache>
            </c:strRef>
          </c:tx>
          <c:spPr>
            <a:ln w="12700">
              <a:solidFill>
                <a:srgbClr val="993300"/>
              </a:solidFill>
              <a:prstDash val="solid"/>
            </a:ln>
          </c:spPr>
          <c:marker>
            <c:symbol val="square"/>
            <c:size val="3"/>
            <c:spPr>
              <a:solidFill>
                <a:srgbClr val="993300"/>
              </a:solidFill>
              <a:ln>
                <a:solidFill>
                  <a:srgbClr val="993300"/>
                </a:solidFill>
                <a:prstDash val="solid"/>
              </a:ln>
            </c:spPr>
          </c:marker>
          <c:cat>
            <c:numRef>
              <c:f>[0]!ChartRange_IP_Year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[0]!ChartRange_IP_Aluminum_Production</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5-7CD5-4A34-BFA4-AC1EB00B8F7E}"/>
            </c:ext>
          </c:extLst>
        </c:ser>
        <c:ser>
          <c:idx val="6"/>
          <c:order val="6"/>
          <c:tx>
            <c:strRef>
              <c:f>IP!$B$25</c:f>
              <c:strCache>
                <c:ptCount val="1"/>
                <c:pt idx="0">
                  <c:v>Additional HFC, PFC, SF6 and NF3 Emissions</c:v>
                </c:pt>
              </c:strCache>
            </c:strRef>
          </c:tx>
          <c:spPr>
            <a:ln w="12700"/>
          </c:spPr>
          <c:marker>
            <c:spPr>
              <a:ln w="12700"/>
            </c:spPr>
          </c:marker>
          <c:val>
            <c:numRef>
              <c:f>IP!$C$25:$AF$25</c:f>
              <c:numCache>
                <c:formatCode>_(* #,##0_);_(* \(#,##0\);_(* "-"??_);_(@_)</c:formatCode>
                <c:ptCount val="30"/>
              </c:numCache>
            </c:numRef>
          </c:val>
          <c:smooth val="0"/>
          <c:extLst>
            <c:ext xmlns:c16="http://schemas.microsoft.com/office/drawing/2014/chart" uri="{C3380CC4-5D6E-409C-BE32-E72D297353CC}">
              <c16:uniqueId val="{00000001-25CC-46A2-A5BC-95238E48CB02}"/>
            </c:ext>
          </c:extLst>
        </c:ser>
        <c:dLbls>
          <c:showLegendKey val="0"/>
          <c:showVal val="0"/>
          <c:showCatName val="0"/>
          <c:showSerName val="0"/>
          <c:showPercent val="0"/>
          <c:showBubbleSize val="0"/>
        </c:dLbls>
        <c:marker val="1"/>
        <c:smooth val="0"/>
        <c:axId val="219410752"/>
        <c:axId val="220888616"/>
      </c:lineChart>
      <c:catAx>
        <c:axId val="219410752"/>
        <c:scaling>
          <c:orientation val="minMax"/>
        </c:scaling>
        <c:delete val="0"/>
        <c:axPos val="b"/>
        <c:title>
          <c:tx>
            <c:rich>
              <a:bodyPr/>
              <a:lstStyle/>
              <a:p>
                <a:pPr>
                  <a:defRPr sz="825" b="1" i="0" u="none" strike="noStrike" baseline="0">
                    <a:solidFill>
                      <a:srgbClr val="000000"/>
                    </a:solidFill>
                    <a:latin typeface="Comic Sans MS"/>
                    <a:ea typeface="Comic Sans MS"/>
                    <a:cs typeface="Comic Sans MS"/>
                  </a:defRPr>
                </a:pPr>
                <a:r>
                  <a:rPr lang="en-US"/>
                  <a:t>Year</a:t>
                </a:r>
              </a:p>
            </c:rich>
          </c:tx>
          <c:layout>
            <c:manualLayout>
              <c:xMode val="edge"/>
              <c:yMode val="edge"/>
              <c:x val="0.47251505326540066"/>
              <c:y val="0.92676455983542594"/>
            </c:manualLayout>
          </c:layout>
          <c:overlay val="0"/>
          <c:spPr>
            <a:noFill/>
            <a:ln w="25400">
              <a:noFill/>
            </a:ln>
          </c:spPr>
        </c:title>
        <c:numFmt formatCode="General" sourceLinked="1"/>
        <c:majorTickMark val="out"/>
        <c:minorTickMark val="none"/>
        <c:tickLblPos val="nextTo"/>
        <c:spPr>
          <a:ln w="9525">
            <a:noFill/>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888616"/>
        <c:crosses val="autoZero"/>
        <c:auto val="1"/>
        <c:lblAlgn val="ctr"/>
        <c:lblOffset val="100"/>
        <c:tickLblSkip val="1"/>
        <c:tickMarkSkip val="1"/>
        <c:noMultiLvlLbl val="0"/>
      </c:catAx>
      <c:valAx>
        <c:axId val="220888616"/>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25" b="1" i="0" u="none" strike="noStrike" baseline="0">
                    <a:solidFill>
                      <a:srgbClr val="000000"/>
                    </a:solidFill>
                    <a:latin typeface="Comic Sans MS"/>
                  </a:rPr>
                  <a:t>Emissions (MTCO</a:t>
                </a:r>
                <a:r>
                  <a:rPr lang="en-US" sz="825" b="1" i="0" u="none" strike="noStrike" baseline="-25000">
                    <a:solidFill>
                      <a:srgbClr val="000000"/>
                    </a:solidFill>
                    <a:latin typeface="Comic Sans MS"/>
                  </a:rPr>
                  <a:t>2</a:t>
                </a:r>
                <a:r>
                  <a:rPr lang="en-US" sz="825" b="1" i="0" u="none" strike="noStrike" baseline="0">
                    <a:solidFill>
                      <a:srgbClr val="000000"/>
                    </a:solidFill>
                    <a:latin typeface="Comic Sans MS"/>
                  </a:rPr>
                  <a:t>E)</a:t>
                </a:r>
              </a:p>
            </c:rich>
          </c:tx>
          <c:layout>
            <c:manualLayout>
              <c:xMode val="edge"/>
              <c:yMode val="edge"/>
              <c:x val="2.5478270009938076E-4"/>
              <c:y val="0.36423836823731792"/>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410752"/>
        <c:crosses val="autoZero"/>
        <c:crossBetween val="between"/>
      </c:valAx>
      <c:spPr>
        <a:noFill/>
        <a:ln w="25400">
          <a:noFill/>
        </a:ln>
      </c:spPr>
    </c:plotArea>
    <c:legend>
      <c:legendPos val="t"/>
      <c:layout>
        <c:manualLayout>
          <c:xMode val="edge"/>
          <c:yMode val="edge"/>
          <c:x val="2.7867918222805928E-2"/>
          <c:y val="0.14290558274810244"/>
          <c:w val="0.90852316766435459"/>
          <c:h val="0.14615982123856139"/>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5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Agriculture!$R$61</c:f>
          <c:strCache>
            <c:ptCount val="1"/>
            <c:pt idx="0">
              <c:v>Greenhouse Gas Emissions from Agriculture, 1990-2021</c:v>
            </c:pt>
          </c:strCache>
        </c:strRef>
      </c:tx>
      <c:layout>
        <c:manualLayout>
          <c:xMode val="edge"/>
          <c:yMode val="edge"/>
          <c:x val="0.20193232271199743"/>
          <c:y val="3.6423841059602648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4132029339853304E-2"/>
          <c:y val="0.17218543046357615"/>
          <c:w val="0.68109443866686481"/>
          <c:h val="0.61589403973509937"/>
        </c:manualLayout>
      </c:layout>
      <c:lineChart>
        <c:grouping val="standard"/>
        <c:varyColors val="0"/>
        <c:ser>
          <c:idx val="0"/>
          <c:order val="0"/>
          <c:tx>
            <c:strRef>
              <c:f>Agriculture!$B$6</c:f>
              <c:strCache>
                <c:ptCount val="1"/>
                <c:pt idx="0">
                  <c:v>Enteric Fermentation</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[0]!ChartRange_Ag_Enteric_Fermentation</c:f>
              <c:numCache>
                <c:formatCode>_(* #,##0.000_);_(* \(#,##0.000\);_(* "-"??_);_(@_)</c:formatCode>
                <c:ptCount val="32"/>
                <c:pt idx="0">
                  <c:v>3.4481062170417429</c:v>
                </c:pt>
                <c:pt idx="1">
                  <c:v>3.5286176179597279</c:v>
                </c:pt>
                <c:pt idx="2">
                  <c:v>3.5811621006140668</c:v>
                </c:pt>
                <c:pt idx="3">
                  <c:v>3.6305856461531434</c:v>
                </c:pt>
                <c:pt idx="4">
                  <c:v>3.5880153226644529</c:v>
                </c:pt>
                <c:pt idx="5">
                  <c:v>3.4067067064814474</c:v>
                </c:pt>
                <c:pt idx="6">
                  <c:v>3.2542320113761427</c:v>
                </c:pt>
                <c:pt idx="7">
                  <c:v>3.1644101713725723</c:v>
                </c:pt>
                <c:pt idx="8">
                  <c:v>3.1055939272157054</c:v>
                </c:pt>
                <c:pt idx="9">
                  <c:v>3.1625344841598459</c:v>
                </c:pt>
                <c:pt idx="10">
                  <c:v>3.1510030563914211</c:v>
                </c:pt>
                <c:pt idx="11">
                  <c:v>3.0367442852961357</c:v>
                </c:pt>
                <c:pt idx="12">
                  <c:v>2.9921341450535279</c:v>
                </c:pt>
                <c:pt idx="13">
                  <c:v>2.8973140684740537</c:v>
                </c:pt>
                <c:pt idx="14">
                  <c:v>2.7946957787050311</c:v>
                </c:pt>
                <c:pt idx="15">
                  <c:v>2.8944862351546381</c:v>
                </c:pt>
                <c:pt idx="16">
                  <c:v>2.8947153956517946</c:v>
                </c:pt>
                <c:pt idx="17">
                  <c:v>2.8679243981194409</c:v>
                </c:pt>
                <c:pt idx="18">
                  <c:v>2.6878873945964039</c:v>
                </c:pt>
                <c:pt idx="19">
                  <c:v>2.6260445781058661</c:v>
                </c:pt>
                <c:pt idx="20">
                  <c:v>2.5475321595177314</c:v>
                </c:pt>
                <c:pt idx="21">
                  <c:v>2.4483532027079185</c:v>
                </c:pt>
                <c:pt idx="22">
                  <c:v>2.3909378295785007</c:v>
                </c:pt>
                <c:pt idx="23">
                  <c:v>2.4630173411686118</c:v>
                </c:pt>
                <c:pt idx="24">
                  <c:v>2.4815185500126464</c:v>
                </c:pt>
                <c:pt idx="25">
                  <c:v>2.4694027413749438</c:v>
                </c:pt>
                <c:pt idx="26">
                  <c:v>2.5467501429236767</c:v>
                </c:pt>
                <c:pt idx="27">
                  <c:v>2.6289895250996302</c:v>
                </c:pt>
                <c:pt idx="28">
                  <c:v>2.5526426558347772</c:v>
                </c:pt>
                <c:pt idx="29">
                  <c:v>2.3276688017708396</c:v>
                </c:pt>
                <c:pt idx="30">
                  <c:v>2.2792269421186173</c:v>
                </c:pt>
                <c:pt idx="31">
                  <c:v>2.4744396857454194</c:v>
                </c:pt>
              </c:numCache>
            </c:numRef>
          </c:val>
          <c:smooth val="0"/>
          <c:extLst>
            <c:ext xmlns:c16="http://schemas.microsoft.com/office/drawing/2014/chart" uri="{C3380CC4-5D6E-409C-BE32-E72D297353CC}">
              <c16:uniqueId val="{00000000-1EB9-4FD8-9424-1E70D0864875}"/>
            </c:ext>
          </c:extLst>
        </c:ser>
        <c:ser>
          <c:idx val="1"/>
          <c:order val="1"/>
          <c:tx>
            <c:strRef>
              <c:f>Agriculture!$B$7</c:f>
              <c:strCache>
                <c:ptCount val="1"/>
                <c:pt idx="0">
                  <c:v>Manure Management</c:v>
                </c:pt>
              </c:strCache>
            </c:strRef>
          </c:tx>
          <c:spPr>
            <a:ln w="12700">
              <a:solidFill>
                <a:srgbClr val="003300"/>
              </a:solidFill>
              <a:prstDash val="solid"/>
            </a:ln>
          </c:spPr>
          <c:marker>
            <c:symbol val="square"/>
            <c:size val="5"/>
            <c:spPr>
              <a:solidFill>
                <a:srgbClr val="003300"/>
              </a:solidFill>
              <a:ln>
                <a:solidFill>
                  <a:srgbClr val="003300"/>
                </a:solidFill>
                <a:prstDash val="solid"/>
              </a:ln>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[0]!ChartRange_Ag_Manure_Management</c:f>
              <c:numCache>
                <c:formatCode>_(* #,##0.000_);_(* \(#,##0.000\);_(* "-"??_);_(@_)</c:formatCode>
                <c:ptCount val="32"/>
                <c:pt idx="0">
                  <c:v>2.3557590433806181</c:v>
                </c:pt>
                <c:pt idx="1">
                  <c:v>2.5863008900811306</c:v>
                </c:pt>
                <c:pt idx="2">
                  <c:v>2.3332096357704257</c:v>
                </c:pt>
                <c:pt idx="3">
                  <c:v>2.3772578803835063</c:v>
                </c:pt>
                <c:pt idx="4">
                  <c:v>2.4168673844363959</c:v>
                </c:pt>
                <c:pt idx="5">
                  <c:v>2.3575936623522895</c:v>
                </c:pt>
                <c:pt idx="6">
                  <c:v>2.0400245306416829</c:v>
                </c:pt>
                <c:pt idx="7">
                  <c:v>1.9449834246890894</c:v>
                </c:pt>
                <c:pt idx="8">
                  <c:v>2.1756844394897978</c:v>
                </c:pt>
                <c:pt idx="9">
                  <c:v>1.9172871809527443</c:v>
                </c:pt>
                <c:pt idx="10">
                  <c:v>1.8405054741864153</c:v>
                </c:pt>
                <c:pt idx="11">
                  <c:v>1.8633370894699592</c:v>
                </c:pt>
                <c:pt idx="12">
                  <c:v>1.9639536715404826</c:v>
                </c:pt>
                <c:pt idx="13">
                  <c:v>1.8017272497815859</c:v>
                </c:pt>
                <c:pt idx="14">
                  <c:v>1.6796418725769449</c:v>
                </c:pt>
                <c:pt idx="15">
                  <c:v>1.8478363083075688</c:v>
                </c:pt>
                <c:pt idx="16">
                  <c:v>1.8525860554203333</c:v>
                </c:pt>
                <c:pt idx="17">
                  <c:v>1.934825069589341</c:v>
                </c:pt>
                <c:pt idx="18">
                  <c:v>1.8143781885454979</c:v>
                </c:pt>
                <c:pt idx="19">
                  <c:v>1.7377070035862519</c:v>
                </c:pt>
                <c:pt idx="20">
                  <c:v>2.0173348213677298</c:v>
                </c:pt>
                <c:pt idx="21">
                  <c:v>1.9895883372276657</c:v>
                </c:pt>
                <c:pt idx="22">
                  <c:v>2.1737260353382388</c:v>
                </c:pt>
                <c:pt idx="23">
                  <c:v>1.9919813420502588</c:v>
                </c:pt>
                <c:pt idx="24">
                  <c:v>1.9333438360708513</c:v>
                </c:pt>
                <c:pt idx="25">
                  <c:v>2.1443808314885797</c:v>
                </c:pt>
                <c:pt idx="26">
                  <c:v>2.3443994991361619</c:v>
                </c:pt>
                <c:pt idx="27">
                  <c:v>2.2908338934224433</c:v>
                </c:pt>
                <c:pt idx="28">
                  <c:v>2.4050683547731651</c:v>
                </c:pt>
                <c:pt idx="29">
                  <c:v>2.3831851222103975</c:v>
                </c:pt>
                <c:pt idx="30">
                  <c:v>2.3975154892217372</c:v>
                </c:pt>
                <c:pt idx="31">
                  <c:v>2.4086403734496091</c:v>
                </c:pt>
              </c:numCache>
            </c:numRef>
          </c:val>
          <c:smooth val="0"/>
          <c:extLst>
            <c:ext xmlns:c16="http://schemas.microsoft.com/office/drawing/2014/chart" uri="{C3380CC4-5D6E-409C-BE32-E72D297353CC}">
              <c16:uniqueId val="{00000001-1EB9-4FD8-9424-1E70D0864875}"/>
            </c:ext>
          </c:extLst>
        </c:ser>
        <c:ser>
          <c:idx val="2"/>
          <c:order val="2"/>
          <c:tx>
            <c:strRef>
              <c:f>Agriculture!$B$8</c:f>
              <c:strCache>
                <c:ptCount val="1"/>
                <c:pt idx="0">
                  <c:v>Agricultural Soil Management</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[0]!ChartRange_Ag_Agricultural_Soil_Management</c:f>
              <c:numCache>
                <c:formatCode>_(* #,##0.000_);_(* \(#,##0.000\);_(* "-"??_);_(@_)</c:formatCode>
                <c:ptCount val="32"/>
                <c:pt idx="0">
                  <c:v>22.773786544949719</c:v>
                </c:pt>
                <c:pt idx="1">
                  <c:v>21.414376488414874</c:v>
                </c:pt>
                <c:pt idx="2">
                  <c:v>22.143347146996643</c:v>
                </c:pt>
                <c:pt idx="3">
                  <c:v>23.677232466774811</c:v>
                </c:pt>
                <c:pt idx="4">
                  <c:v>22.674289610928906</c:v>
                </c:pt>
                <c:pt idx="5">
                  <c:v>21.512261122712914</c:v>
                </c:pt>
                <c:pt idx="6">
                  <c:v>22.548305095802611</c:v>
                </c:pt>
                <c:pt idx="7">
                  <c:v>21.299423606933964</c:v>
                </c:pt>
                <c:pt idx="8">
                  <c:v>22.151505951249238</c:v>
                </c:pt>
                <c:pt idx="9">
                  <c:v>21.693058916260725</c:v>
                </c:pt>
                <c:pt idx="10">
                  <c:v>21.262638543662035</c:v>
                </c:pt>
                <c:pt idx="11">
                  <c:v>22.228956520586962</c:v>
                </c:pt>
                <c:pt idx="12">
                  <c:v>21.43979059136467</c:v>
                </c:pt>
                <c:pt idx="13">
                  <c:v>20.598268450317793</c:v>
                </c:pt>
                <c:pt idx="14">
                  <c:v>22.706050879715733</c:v>
                </c:pt>
                <c:pt idx="15">
                  <c:v>20.658464662749061</c:v>
                </c:pt>
                <c:pt idx="16">
                  <c:v>21.752736254231596</c:v>
                </c:pt>
                <c:pt idx="17">
                  <c:v>21.047948048830371</c:v>
                </c:pt>
                <c:pt idx="18">
                  <c:v>22.178254092402131</c:v>
                </c:pt>
                <c:pt idx="19">
                  <c:v>20.766010182390875</c:v>
                </c:pt>
                <c:pt idx="20">
                  <c:v>20.717510541244884</c:v>
                </c:pt>
                <c:pt idx="21">
                  <c:v>21.660514597393373</c:v>
                </c:pt>
                <c:pt idx="22">
                  <c:v>19.577021332009831</c:v>
                </c:pt>
                <c:pt idx="23">
                  <c:v>23.350934530911964</c:v>
                </c:pt>
                <c:pt idx="24">
                  <c:v>24.838078541457463</c:v>
                </c:pt>
                <c:pt idx="25">
                  <c:v>23.510069922832482</c:v>
                </c:pt>
                <c:pt idx="26">
                  <c:v>22.734413805061997</c:v>
                </c:pt>
                <c:pt idx="27">
                  <c:v>23.801957681067091</c:v>
                </c:pt>
                <c:pt idx="28">
                  <c:v>26.008411539196274</c:v>
                </c:pt>
                <c:pt idx="29">
                  <c:v>23.623458549855126</c:v>
                </c:pt>
                <c:pt idx="30">
                  <c:v>22.759181015223312</c:v>
                </c:pt>
                <c:pt idx="31">
                  <c:v>21.776349599240373</c:v>
                </c:pt>
              </c:numCache>
            </c:numRef>
          </c:val>
          <c:smooth val="0"/>
          <c:extLst>
            <c:ext xmlns:c16="http://schemas.microsoft.com/office/drawing/2014/chart" uri="{C3380CC4-5D6E-409C-BE32-E72D297353CC}">
              <c16:uniqueId val="{00000002-1EB9-4FD8-9424-1E70D0864875}"/>
            </c:ext>
          </c:extLst>
        </c:ser>
        <c:ser>
          <c:idx val="3"/>
          <c:order val="3"/>
          <c:tx>
            <c:strRef>
              <c:f>Agriculture!$B$9</c:f>
              <c:strCache>
                <c:ptCount val="1"/>
                <c:pt idx="0">
                  <c:v>Rice Cultivation</c:v>
                </c:pt>
              </c:strCache>
            </c:strRef>
          </c:tx>
          <c:spPr>
            <a:ln w="12700">
              <a:solidFill>
                <a:srgbClr val="FF6600"/>
              </a:solidFill>
              <a:prstDash val="solid"/>
            </a:ln>
          </c:spPr>
          <c:marker>
            <c:symbol val="x"/>
            <c:size val="5"/>
            <c:spPr>
              <a:noFill/>
              <a:ln>
                <a:solidFill>
                  <a:srgbClr val="FF6600"/>
                </a:solidFill>
                <a:prstDash val="solid"/>
              </a:ln>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[0]!ChartRange_Ag_Rice_Cultivation</c:f>
              <c:numCache>
                <c:formatCode>_(* #,##0.000_);_(* \(#,##0.000\);_(* "-"??_);_(@_)</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3-1EB9-4FD8-9424-1E70D0864875}"/>
            </c:ext>
          </c:extLst>
        </c:ser>
        <c:ser>
          <c:idx val="5"/>
          <c:order val="4"/>
          <c:tx>
            <c:strRef>
              <c:f>Agriculture!$B$10</c:f>
              <c:strCache>
                <c:ptCount val="1"/>
                <c:pt idx="0">
                  <c:v>Liming</c:v>
                </c:pt>
              </c:strCache>
            </c:strRef>
          </c:tx>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[0]!ChartRange_Ag_Liming</c:f>
              <c:numCache>
                <c:formatCode>_(* #,##0.000_);_(* \(#,##0.000\);_(* "-"??_);_(@_)</c:formatCode>
                <c:ptCount val="32"/>
                <c:pt idx="0">
                  <c:v>0.8391574080806441</c:v>
                </c:pt>
                <c:pt idx="1">
                  <c:v>0.70843341313498398</c:v>
                </c:pt>
                <c:pt idx="2">
                  <c:v>0.72882367915606894</c:v>
                </c:pt>
                <c:pt idx="3">
                  <c:v>0.59856667450771039</c:v>
                </c:pt>
                <c:pt idx="4">
                  <c:v>0.58344247644011882</c:v>
                </c:pt>
                <c:pt idx="5">
                  <c:v>0.79968041262599143</c:v>
                </c:pt>
                <c:pt idx="6">
                  <c:v>0.79144122770370173</c:v>
                </c:pt>
                <c:pt idx="7">
                  <c:v>0.73760464559815209</c:v>
                </c:pt>
                <c:pt idx="8">
                  <c:v>0.71530705376283943</c:v>
                </c:pt>
                <c:pt idx="9">
                  <c:v>0.62503333361974156</c:v>
                </c:pt>
                <c:pt idx="10">
                  <c:v>0.53586824812638945</c:v>
                </c:pt>
                <c:pt idx="11">
                  <c:v>0.73342572090326719</c:v>
                </c:pt>
                <c:pt idx="12">
                  <c:v>0.52810572958065449</c:v>
                </c:pt>
                <c:pt idx="13">
                  <c:v>0.68207105528940248</c:v>
                </c:pt>
                <c:pt idx="14">
                  <c:v>0.82637147200081562</c:v>
                </c:pt>
                <c:pt idx="15">
                  <c:v>0.82577192240833897</c:v>
                </c:pt>
                <c:pt idx="16">
                  <c:v>0.6574371509105541</c:v>
                </c:pt>
                <c:pt idx="17">
                  <c:v>0.90767021765896139</c:v>
                </c:pt>
                <c:pt idx="18">
                  <c:v>0.46968039896249292</c:v>
                </c:pt>
                <c:pt idx="19">
                  <c:v>0</c:v>
                </c:pt>
                <c:pt idx="20">
                  <c:v>0.73756197310975924</c:v>
                </c:pt>
                <c:pt idx="21">
                  <c:v>0.54200966379270654</c:v>
                </c:pt>
                <c:pt idx="22">
                  <c:v>0.96685082966789626</c:v>
                </c:pt>
                <c:pt idx="23">
                  <c:v>0.67330525092804061</c:v>
                </c:pt>
                <c:pt idx="24">
                  <c:v>0.62173761815381656</c:v>
                </c:pt>
                <c:pt idx="25">
                  <c:v>0.65061919501771082</c:v>
                </c:pt>
                <c:pt idx="26">
                  <c:v>0.51302933263057215</c:v>
                </c:pt>
                <c:pt idx="27">
                  <c:v>0.59454719068087969</c:v>
                </c:pt>
                <c:pt idx="28">
                  <c:v>0.51647989836297814</c:v>
                </c:pt>
                <c:pt idx="29">
                  <c:v>0.24728981851367962</c:v>
                </c:pt>
                <c:pt idx="30">
                  <c:v>0.32566684873851454</c:v>
                </c:pt>
                <c:pt idx="31">
                  <c:v>0.46071683391722229</c:v>
                </c:pt>
              </c:numCache>
            </c:numRef>
          </c:val>
          <c:smooth val="0"/>
          <c:extLst>
            <c:ext xmlns:c16="http://schemas.microsoft.com/office/drawing/2014/chart" uri="{C3380CC4-5D6E-409C-BE32-E72D297353CC}">
              <c16:uniqueId val="{00000002-28FF-4CC7-8778-78B5416416EB}"/>
            </c:ext>
          </c:extLst>
        </c:ser>
        <c:ser>
          <c:idx val="6"/>
          <c:order val="5"/>
          <c:tx>
            <c:strRef>
              <c:f>Agriculture!$B$11</c:f>
              <c:strCache>
                <c:ptCount val="1"/>
                <c:pt idx="0">
                  <c:v>Urea Fertilization</c:v>
                </c:pt>
              </c:strCache>
            </c:strRef>
          </c:tx>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[0]!ChartRange_Ag_Urea</c:f>
              <c:numCache>
                <c:formatCode>_(* #,##0.000_);_(* \(#,##0.000\);_(* "-"??_);_(@_)</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4-28FF-4CC7-8778-78B5416416EB}"/>
            </c:ext>
          </c:extLst>
        </c:ser>
        <c:ser>
          <c:idx val="4"/>
          <c:order val="6"/>
          <c:tx>
            <c:strRef>
              <c:f>Agriculture!$B$12</c:f>
              <c:strCache>
                <c:ptCount val="1"/>
                <c:pt idx="0">
                  <c:v>Burning of Agricultural Crop Waste </c:v>
                </c:pt>
              </c:strCache>
            </c:strRef>
          </c:tx>
          <c:spPr>
            <a:ln w="12700">
              <a:solidFill>
                <a:srgbClr val="808000"/>
              </a:solidFill>
              <a:prstDash val="solid"/>
            </a:ln>
          </c:spPr>
          <c:marker>
            <c:symbol val="star"/>
            <c:size val="5"/>
            <c:spPr>
              <a:noFill/>
              <a:ln>
                <a:solidFill>
                  <a:srgbClr val="808000"/>
                </a:solidFill>
                <a:prstDash val="solid"/>
              </a:ln>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[0]!ChartRange_Ag_Burning_of_Agricultural_Crop_Waste</c:f>
              <c:numCache>
                <c:formatCode>_(* #,##0.000_);_(* \(#,##0.000\);_(* "-"??_);_(@_)</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4-1EB9-4FD8-9424-1E70D0864875}"/>
            </c:ext>
          </c:extLst>
        </c:ser>
        <c:ser>
          <c:idx val="7"/>
          <c:order val="7"/>
          <c:tx>
            <c:strRef>
              <c:f>Agriculture!$B$14</c:f>
              <c:strCache>
                <c:ptCount val="1"/>
                <c:pt idx="0">
                  <c:v>Additional Methane Emissions</c:v>
                </c:pt>
              </c:strCache>
            </c:strRef>
          </c:tx>
          <c:spPr>
            <a:ln w="12700"/>
          </c:spPr>
          <c:marker>
            <c:spPr>
              <a:ln w="12700"/>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[0]!ChartRange_Ag_CH4_add</c:f>
              <c:numCache>
                <c:formatCode>#,##0.000</c:formatCode>
                <c:ptCount val="32"/>
              </c:numCache>
            </c:numRef>
          </c:val>
          <c:smooth val="0"/>
          <c:extLst>
            <c:ext xmlns:c16="http://schemas.microsoft.com/office/drawing/2014/chart" uri="{C3380CC4-5D6E-409C-BE32-E72D297353CC}">
              <c16:uniqueId val="{00000001-C433-4B2C-A60A-BE97B1A6585F}"/>
            </c:ext>
          </c:extLst>
        </c:ser>
        <c:ser>
          <c:idx val="8"/>
          <c:order val="8"/>
          <c:tx>
            <c:strRef>
              <c:f>Agriculture!$B$15</c:f>
              <c:strCache>
                <c:ptCount val="1"/>
                <c:pt idx="0">
                  <c:v>Additional Nitrous Oxide Emissions</c:v>
                </c:pt>
              </c:strCache>
            </c:strRef>
          </c:tx>
          <c:spPr>
            <a:ln w="12700"/>
          </c:spPr>
          <c:marker>
            <c:spPr>
              <a:ln w="12700"/>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[0]!ChartRange_Ag_N2O_add</c:f>
              <c:numCache>
                <c:formatCode>#,##0.000</c:formatCode>
                <c:ptCount val="32"/>
              </c:numCache>
            </c:numRef>
          </c:val>
          <c:smooth val="0"/>
          <c:extLst>
            <c:ext xmlns:c16="http://schemas.microsoft.com/office/drawing/2014/chart" uri="{C3380CC4-5D6E-409C-BE32-E72D297353CC}">
              <c16:uniqueId val="{00000001-9D66-49F9-A7D3-F0EAC5B32983}"/>
            </c:ext>
          </c:extLst>
        </c:ser>
        <c:ser>
          <c:idx val="9"/>
          <c:order val="9"/>
          <c:tx>
            <c:strRef>
              <c:f>Agriculture!$B$13</c:f>
              <c:strCache>
                <c:ptCount val="1"/>
                <c:pt idx="0">
                  <c:v>Additional Carbon Dioxide Emissions</c:v>
                </c:pt>
              </c:strCache>
            </c:strRef>
          </c:tx>
          <c:spPr>
            <a:ln w="12700"/>
          </c:spPr>
          <c:marker>
            <c:spPr>
              <a:ln w="12700"/>
            </c:spPr>
          </c:marker>
          <c:cat>
            <c:numRef>
              <c:f>[0]!ChartRange_Ag_Year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[0]!ChartRange_Ag_CO2_add</c:f>
              <c:numCache>
                <c:formatCode>#,##0.000</c:formatCode>
                <c:ptCount val="32"/>
              </c:numCache>
            </c:numRef>
          </c:val>
          <c:smooth val="0"/>
          <c:extLst>
            <c:ext xmlns:c16="http://schemas.microsoft.com/office/drawing/2014/chart" uri="{C3380CC4-5D6E-409C-BE32-E72D297353CC}">
              <c16:uniqueId val="{00000001-F2ED-4109-9ABF-E57802B651E5}"/>
            </c:ext>
          </c:extLst>
        </c:ser>
        <c:dLbls>
          <c:showLegendKey val="0"/>
          <c:showVal val="0"/>
          <c:showCatName val="0"/>
          <c:showSerName val="0"/>
          <c:showPercent val="0"/>
          <c:showBubbleSize val="0"/>
        </c:dLbls>
        <c:marker val="1"/>
        <c:smooth val="0"/>
        <c:axId val="220889400"/>
        <c:axId val="220889792"/>
      </c:lineChart>
      <c:catAx>
        <c:axId val="220889400"/>
        <c:scaling>
          <c:orientation val="minMax"/>
        </c:scaling>
        <c:delete val="0"/>
        <c:axPos val="b"/>
        <c:title>
          <c:tx>
            <c:rich>
              <a:bodyPr/>
              <a:lstStyle/>
              <a:p>
                <a:pPr>
                  <a:defRPr sz="800" b="1" i="0" u="none" strike="noStrike" baseline="0">
                    <a:solidFill>
                      <a:srgbClr val="000000"/>
                    </a:solidFill>
                    <a:latin typeface="Comic Sans MS"/>
                    <a:ea typeface="Comic Sans MS"/>
                    <a:cs typeface="Comic Sans MS"/>
                  </a:defRPr>
                </a:pPr>
                <a:r>
                  <a:rPr lang="en-US"/>
                  <a:t>Year</a:t>
                </a:r>
              </a:p>
            </c:rich>
          </c:tx>
          <c:layout>
            <c:manualLayout>
              <c:xMode val="edge"/>
              <c:yMode val="edge"/>
              <c:x val="0.43031783253544309"/>
              <c:y val="0.8907283968020621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889792"/>
        <c:crosses val="autoZero"/>
        <c:auto val="1"/>
        <c:lblAlgn val="ctr"/>
        <c:lblOffset val="100"/>
        <c:tickLblSkip val="1"/>
        <c:tickMarkSkip val="1"/>
        <c:noMultiLvlLbl val="0"/>
      </c:catAx>
      <c:valAx>
        <c:axId val="220889792"/>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7.3349715681353339E-3"/>
              <c:y val="0.35430452906941617"/>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0889400"/>
        <c:crosses val="autoZero"/>
        <c:crossBetween val="between"/>
      </c:valAx>
      <c:spPr>
        <a:solidFill>
          <a:srgbClr val="FFFFFF"/>
        </a:solidFill>
        <a:ln w="12700">
          <a:solidFill>
            <a:srgbClr val="808080"/>
          </a:solidFill>
          <a:prstDash val="solid"/>
        </a:ln>
      </c:spPr>
    </c:plotArea>
    <c:legend>
      <c:legendPos val="r"/>
      <c:layout>
        <c:manualLayout>
          <c:xMode val="edge"/>
          <c:yMode val="edge"/>
          <c:x val="0.79107264893775087"/>
          <c:y val="0.1513632650223358"/>
          <c:w val="0.2089273510622493"/>
          <c:h val="0.77691915271154488"/>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Agriculture!$R$62</c:f>
          <c:strCache>
            <c:ptCount val="1"/>
            <c:pt idx="0">
              <c:v>Direct Nitrous Oxide Emissions from Ag Soils, 1990-2021</c:v>
            </c:pt>
          </c:strCache>
        </c:strRef>
      </c:tx>
      <c:layout>
        <c:manualLayout>
          <c:xMode val="edge"/>
          <c:yMode val="edge"/>
          <c:x val="0.27157764174462518"/>
          <c:y val="2.5737140000357098E-2"/>
        </c:manualLayout>
      </c:layout>
      <c:overlay val="0"/>
      <c:spPr>
        <a:noFill/>
        <a:ln w="25400">
          <a:noFill/>
        </a:ln>
      </c:spPr>
      <c:txPr>
        <a:bodyPr/>
        <a:lstStyle/>
        <a:p>
          <a:pP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8.3129584352078234E-2"/>
          <c:y val="0.19666730685972286"/>
          <c:w val="0.89975550122249393"/>
          <c:h val="0.56666851129072682"/>
        </c:manualLayout>
      </c:layout>
      <c:lineChart>
        <c:grouping val="standard"/>
        <c:varyColors val="0"/>
        <c:ser>
          <c:idx val="0"/>
          <c:order val="0"/>
          <c:tx>
            <c:strRef>
              <c:f>Agriculture!$B$45</c:f>
              <c:strCache>
                <c:ptCount val="1"/>
                <c:pt idx="0">
                  <c:v>Fertilizers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[0]!ChartRange_Ag_DirectN2O_Year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[0]!ChartRange_Ag_DirectN2O_Fertilizers</c:f>
              <c:numCache>
                <c:formatCode>_(* #,##0_);_(* \(#,##0\);_(* "-"??_);_(@_)</c:formatCode>
                <c:ptCount val="32"/>
                <c:pt idx="0">
                  <c:v>26409.263457623452</c:v>
                </c:pt>
                <c:pt idx="1">
                  <c:v>26478.455750440466</c:v>
                </c:pt>
                <c:pt idx="2">
                  <c:v>23301.907284529672</c:v>
                </c:pt>
                <c:pt idx="3">
                  <c:v>26128.221845842323</c:v>
                </c:pt>
                <c:pt idx="4">
                  <c:v>24478.146739943353</c:v>
                </c:pt>
                <c:pt idx="5">
                  <c:v>24758.32038464112</c:v>
                </c:pt>
                <c:pt idx="6">
                  <c:v>26481.425028272759</c:v>
                </c:pt>
                <c:pt idx="7">
                  <c:v>23327.633410143895</c:v>
                </c:pt>
                <c:pt idx="8">
                  <c:v>22926.443401680226</c:v>
                </c:pt>
                <c:pt idx="9">
                  <c:v>23076.739737977394</c:v>
                </c:pt>
                <c:pt idx="10">
                  <c:v>21027.524411444407</c:v>
                </c:pt>
                <c:pt idx="11">
                  <c:v>20862.29060100982</c:v>
                </c:pt>
                <c:pt idx="12">
                  <c:v>20680.470286507312</c:v>
                </c:pt>
                <c:pt idx="13">
                  <c:v>22005.005395008724</c:v>
                </c:pt>
                <c:pt idx="14">
                  <c:v>22181.399888071606</c:v>
                </c:pt>
                <c:pt idx="15">
                  <c:v>21405.196819119552</c:v>
                </c:pt>
                <c:pt idx="16">
                  <c:v>21953.628192738528</c:v>
                </c:pt>
                <c:pt idx="17">
                  <c:v>25125.816479041816</c:v>
                </c:pt>
                <c:pt idx="18">
                  <c:v>24239.663674242027</c:v>
                </c:pt>
                <c:pt idx="19">
                  <c:v>21799.276387592712</c:v>
                </c:pt>
                <c:pt idx="20">
                  <c:v>20223.605131494525</c:v>
                </c:pt>
                <c:pt idx="21">
                  <c:v>25321.655095596732</c:v>
                </c:pt>
                <c:pt idx="22">
                  <c:v>25354.3347076998</c:v>
                </c:pt>
                <c:pt idx="23">
                  <c:v>25003.46679418334</c:v>
                </c:pt>
                <c:pt idx="24">
                  <c:v>24902.998193263978</c:v>
                </c:pt>
                <c:pt idx="25">
                  <c:v>23126.672599080648</c:v>
                </c:pt>
                <c:pt idx="26">
                  <c:v>20679.386282364692</c:v>
                </c:pt>
                <c:pt idx="27">
                  <c:v>21309.625062725583</c:v>
                </c:pt>
                <c:pt idx="28">
                  <c:v>22109.908847820199</c:v>
                </c:pt>
                <c:pt idx="29">
                  <c:v>23333.669583484301</c:v>
                </c:pt>
                <c:pt idx="30">
                  <c:v>20546.60701325093</c:v>
                </c:pt>
                <c:pt idx="31">
                  <c:v>13333.918584142546</c:v>
                </c:pt>
              </c:numCache>
            </c:numRef>
          </c:val>
          <c:smooth val="0"/>
          <c:extLst>
            <c:ext xmlns:c16="http://schemas.microsoft.com/office/drawing/2014/chart" uri="{C3380CC4-5D6E-409C-BE32-E72D297353CC}">
              <c16:uniqueId val="{00000000-2DAD-491A-95AF-AF84DBDC2E4A}"/>
            </c:ext>
          </c:extLst>
        </c:ser>
        <c:ser>
          <c:idx val="1"/>
          <c:order val="1"/>
          <c:tx>
            <c:strRef>
              <c:f>Agriculture!$B$46</c:f>
              <c:strCache>
                <c:ptCount val="1"/>
                <c:pt idx="0">
                  <c:v>Crop Residues</c:v>
                </c:pt>
              </c:strCache>
            </c:strRef>
          </c:tx>
          <c:spPr>
            <a:ln w="12700">
              <a:solidFill>
                <a:srgbClr val="003300"/>
              </a:solidFill>
              <a:prstDash val="solid"/>
            </a:ln>
          </c:spPr>
          <c:marker>
            <c:symbol val="square"/>
            <c:size val="5"/>
            <c:spPr>
              <a:solidFill>
                <a:srgbClr val="003300"/>
              </a:solidFill>
              <a:ln>
                <a:solidFill>
                  <a:srgbClr val="003300"/>
                </a:solidFill>
                <a:prstDash val="solid"/>
              </a:ln>
            </c:spPr>
          </c:marker>
          <c:cat>
            <c:numRef>
              <c:f>[0]!ChartRange_Ag_DirectN2O_Year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[0]!ChartRange_Ag_DirectN2O_Crop_Residues</c:f>
              <c:numCache>
                <c:formatCode>_(* #,##0_);_(* \(#,##0\);_(* "-"??_);_(@_)</c:formatCode>
                <c:ptCount val="32"/>
                <c:pt idx="0">
                  <c:v>18930.985522632305</c:v>
                </c:pt>
                <c:pt idx="1">
                  <c:v>16669.536554412491</c:v>
                </c:pt>
                <c:pt idx="2">
                  <c:v>19759.298396312111</c:v>
                </c:pt>
                <c:pt idx="3">
                  <c:v>19945.770626655347</c:v>
                </c:pt>
                <c:pt idx="4">
                  <c:v>20638.8985938195</c:v>
                </c:pt>
                <c:pt idx="5">
                  <c:v>17467.43006436621</c:v>
                </c:pt>
                <c:pt idx="6">
                  <c:v>18939.619857375554</c:v>
                </c:pt>
                <c:pt idx="7">
                  <c:v>18250.328588566321</c:v>
                </c:pt>
                <c:pt idx="8">
                  <c:v>19139.963517284381</c:v>
                </c:pt>
                <c:pt idx="9">
                  <c:v>19091.952532525549</c:v>
                </c:pt>
                <c:pt idx="10">
                  <c:v>19827.657685789261</c:v>
                </c:pt>
                <c:pt idx="11">
                  <c:v>20854.030071548794</c:v>
                </c:pt>
                <c:pt idx="12">
                  <c:v>19878.76084425137</c:v>
                </c:pt>
                <c:pt idx="13">
                  <c:v>19451.396725926406</c:v>
                </c:pt>
                <c:pt idx="14">
                  <c:v>21689.909874785033</c:v>
                </c:pt>
                <c:pt idx="15">
                  <c:v>18903.776706051009</c:v>
                </c:pt>
                <c:pt idx="16">
                  <c:v>20097.798114215941</c:v>
                </c:pt>
                <c:pt idx="17">
                  <c:v>19507.699721153476</c:v>
                </c:pt>
                <c:pt idx="18">
                  <c:v>20610.998026396217</c:v>
                </c:pt>
                <c:pt idx="19">
                  <c:v>19301.941127670088</c:v>
                </c:pt>
                <c:pt idx="20">
                  <c:v>19549.690490577203</c:v>
                </c:pt>
                <c:pt idx="21">
                  <c:v>19266.345322870387</c:v>
                </c:pt>
                <c:pt idx="22">
                  <c:v>15585.608577174318</c:v>
                </c:pt>
                <c:pt idx="23">
                  <c:v>21602.275827557169</c:v>
                </c:pt>
                <c:pt idx="24">
                  <c:v>23658.238868863027</c:v>
                </c:pt>
                <c:pt idx="25">
                  <c:v>21529.133145938471</c:v>
                </c:pt>
                <c:pt idx="26">
                  <c:v>21844.495290844879</c:v>
                </c:pt>
                <c:pt idx="27">
                  <c:v>22838.566605941101</c:v>
                </c:pt>
                <c:pt idx="28">
                  <c:v>25402.200752100991</c:v>
                </c:pt>
                <c:pt idx="29">
                  <c:v>21548.002149672371</c:v>
                </c:pt>
                <c:pt idx="30">
                  <c:v>21848.190583733154</c:v>
                </c:pt>
                <c:pt idx="31">
                  <c:v>23790.72904616598</c:v>
                </c:pt>
              </c:numCache>
            </c:numRef>
          </c:val>
          <c:smooth val="0"/>
          <c:extLst>
            <c:ext xmlns:c16="http://schemas.microsoft.com/office/drawing/2014/chart" uri="{C3380CC4-5D6E-409C-BE32-E72D297353CC}">
              <c16:uniqueId val="{00000001-2DAD-491A-95AF-AF84DBDC2E4A}"/>
            </c:ext>
          </c:extLst>
        </c:ser>
        <c:ser>
          <c:idx val="2"/>
          <c:order val="2"/>
          <c:tx>
            <c:strRef>
              <c:f>Agriculture!$B$47</c:f>
              <c:strCache>
                <c:ptCount val="1"/>
                <c:pt idx="0">
                  <c:v>N-Fixing Crops</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[0]!ChartRange_Ag_DirectN2O_Year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[0]!ChartRange_Ag_DirectN2O_N_Fixing_Crops</c:f>
              <c:numCache>
                <c:formatCode>_(* #,##0_);_(* \(#,##0\);_(* "-"??_);_(@_)</c:formatCode>
                <c:ptCount val="32"/>
                <c:pt idx="0">
                  <c:v>29274.013862860636</c:v>
                </c:pt>
                <c:pt idx="1">
                  <c:v>26664.948310686006</c:v>
                </c:pt>
                <c:pt idx="2">
                  <c:v>29566.946728609364</c:v>
                </c:pt>
                <c:pt idx="3">
                  <c:v>31887.893610085535</c:v>
                </c:pt>
                <c:pt idx="4">
                  <c:v>30530.630306789491</c:v>
                </c:pt>
                <c:pt idx="5">
                  <c:v>28546.622080406072</c:v>
                </c:pt>
                <c:pt idx="6">
                  <c:v>29174.81576141551</c:v>
                </c:pt>
                <c:pt idx="7">
                  <c:v>28876.584054815659</c:v>
                </c:pt>
                <c:pt idx="8">
                  <c:v>30851.030818044001</c:v>
                </c:pt>
                <c:pt idx="9">
                  <c:v>29913.555253979732</c:v>
                </c:pt>
                <c:pt idx="10">
                  <c:v>30428.115656495655</c:v>
                </c:pt>
                <c:pt idx="11">
                  <c:v>32606.390707916635</c:v>
                </c:pt>
                <c:pt idx="12">
                  <c:v>31572.777513323814</c:v>
                </c:pt>
                <c:pt idx="13">
                  <c:v>27388.266225384676</c:v>
                </c:pt>
                <c:pt idx="14">
                  <c:v>31647.135135545454</c:v>
                </c:pt>
                <c:pt idx="15">
                  <c:v>28298.991388657665</c:v>
                </c:pt>
                <c:pt idx="16">
                  <c:v>30339.64615943496</c:v>
                </c:pt>
                <c:pt idx="17">
                  <c:v>24498.645734307585</c:v>
                </c:pt>
                <c:pt idx="18">
                  <c:v>28140.904550740441</c:v>
                </c:pt>
                <c:pt idx="19">
                  <c:v>26966.744277998569</c:v>
                </c:pt>
                <c:pt idx="20">
                  <c:v>28729.776322555063</c:v>
                </c:pt>
                <c:pt idx="21">
                  <c:v>27070.102278341474</c:v>
                </c:pt>
                <c:pt idx="22">
                  <c:v>24152.020116859505</c:v>
                </c:pt>
                <c:pt idx="23">
                  <c:v>30777.153811367272</c:v>
                </c:pt>
                <c:pt idx="24">
                  <c:v>33991.260031250429</c:v>
                </c:pt>
                <c:pt idx="25">
                  <c:v>32328.422099553518</c:v>
                </c:pt>
                <c:pt idx="26">
                  <c:v>32571.098142041115</c:v>
                </c:pt>
                <c:pt idx="27">
                  <c:v>34646.561799534233</c:v>
                </c:pt>
                <c:pt idx="28">
                  <c:v>39047.020047077276</c:v>
                </c:pt>
                <c:pt idx="29">
                  <c:v>32933.653473633989</c:v>
                </c:pt>
                <c:pt idx="30">
                  <c:v>33524.568126347716</c:v>
                </c:pt>
                <c:pt idx="31">
                  <c:v>37255.951177372241</c:v>
                </c:pt>
              </c:numCache>
            </c:numRef>
          </c:val>
          <c:smooth val="0"/>
          <c:extLst>
            <c:ext xmlns:c16="http://schemas.microsoft.com/office/drawing/2014/chart" uri="{C3380CC4-5D6E-409C-BE32-E72D297353CC}">
              <c16:uniqueId val="{00000002-2DAD-491A-95AF-AF84DBDC2E4A}"/>
            </c:ext>
          </c:extLst>
        </c:ser>
        <c:ser>
          <c:idx val="3"/>
          <c:order val="3"/>
          <c:tx>
            <c:strRef>
              <c:f>Agriculture!$B$48</c:f>
              <c:strCache>
                <c:ptCount val="1"/>
                <c:pt idx="0">
                  <c:v>Histosols</c:v>
                </c:pt>
              </c:strCache>
            </c:strRef>
          </c:tx>
          <c:spPr>
            <a:ln w="12700">
              <a:solidFill>
                <a:srgbClr val="FF9900"/>
              </a:solidFill>
              <a:prstDash val="solid"/>
            </a:ln>
          </c:spPr>
          <c:marker>
            <c:symbol val="x"/>
            <c:size val="5"/>
            <c:spPr>
              <a:noFill/>
              <a:ln>
                <a:solidFill>
                  <a:srgbClr val="FF9900"/>
                </a:solidFill>
                <a:prstDash val="solid"/>
              </a:ln>
            </c:spPr>
          </c:marker>
          <c:cat>
            <c:numRef>
              <c:f>[0]!ChartRange_Ag_DirectN2O_Year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[0]!ChartRange_Ag_DirectN2O_Histosols</c:f>
              <c:numCache>
                <c:formatCode>_(* #,##0_);_(* \(#,##0\);_(* "-"??_);_(@_)</c:formatCode>
                <c:ptCount val="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numCache>
            </c:numRef>
          </c:val>
          <c:smooth val="0"/>
          <c:extLst>
            <c:ext xmlns:c16="http://schemas.microsoft.com/office/drawing/2014/chart" uri="{C3380CC4-5D6E-409C-BE32-E72D297353CC}">
              <c16:uniqueId val="{00000003-2DAD-491A-95AF-AF84DBDC2E4A}"/>
            </c:ext>
          </c:extLst>
        </c:ser>
        <c:ser>
          <c:idx val="4"/>
          <c:order val="4"/>
          <c:tx>
            <c:strRef>
              <c:f>Agriculture!$B$49</c:f>
              <c:strCache>
                <c:ptCount val="1"/>
                <c:pt idx="0">
                  <c:v>Livestock</c:v>
                </c:pt>
              </c:strCache>
            </c:strRef>
          </c:tx>
          <c:spPr>
            <a:ln w="12700">
              <a:solidFill>
                <a:srgbClr val="800080"/>
              </a:solidFill>
              <a:prstDash val="solid"/>
            </a:ln>
          </c:spPr>
          <c:marker>
            <c:symbol val="star"/>
            <c:size val="5"/>
            <c:spPr>
              <a:noFill/>
              <a:ln>
                <a:solidFill>
                  <a:srgbClr val="800080"/>
                </a:solidFill>
                <a:prstDash val="solid"/>
              </a:ln>
            </c:spPr>
          </c:marker>
          <c:cat>
            <c:numRef>
              <c:f>[0]!ChartRange_Ag_DirectN2O_Year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[0]!ChartRange_Ag_DirectN2O_Livestock</c:f>
              <c:numCache>
                <c:formatCode>_(* #,##0_);_(* \(#,##0\);_(* "-"??_);_(@_)</c:formatCode>
                <c:ptCount val="32"/>
              </c:numCache>
            </c:numRef>
          </c:val>
          <c:smooth val="0"/>
          <c:extLst>
            <c:ext xmlns:c16="http://schemas.microsoft.com/office/drawing/2014/chart" uri="{C3380CC4-5D6E-409C-BE32-E72D297353CC}">
              <c16:uniqueId val="{00000004-2DAD-491A-95AF-AF84DBDC2E4A}"/>
            </c:ext>
          </c:extLst>
        </c:ser>
        <c:dLbls>
          <c:showLegendKey val="0"/>
          <c:showVal val="0"/>
          <c:showCatName val="0"/>
          <c:showSerName val="0"/>
          <c:showPercent val="0"/>
          <c:showBubbleSize val="0"/>
        </c:dLbls>
        <c:marker val="1"/>
        <c:smooth val="0"/>
        <c:axId val="220890576"/>
        <c:axId val="220890968"/>
      </c:lineChart>
      <c:catAx>
        <c:axId val="220890576"/>
        <c:scaling>
          <c:orientation val="minMax"/>
        </c:scaling>
        <c:delete val="0"/>
        <c:axPos val="b"/>
        <c:title>
          <c:tx>
            <c:rich>
              <a:bodyPr/>
              <a:lstStyle/>
              <a:p>
                <a:pPr>
                  <a:defRPr sz="800" b="1" i="0" u="none" strike="noStrike" baseline="0">
                    <a:solidFill>
                      <a:srgbClr val="000000"/>
                    </a:solidFill>
                    <a:latin typeface="Comic Sans MS"/>
                    <a:ea typeface="Comic Sans MS"/>
                    <a:cs typeface="Comic Sans MS"/>
                  </a:defRPr>
                </a:pPr>
                <a:r>
                  <a:rPr lang="en-US"/>
                  <a:t>Year</a:t>
                </a:r>
              </a:p>
            </c:rich>
          </c:tx>
          <c:layout>
            <c:manualLayout>
              <c:xMode val="edge"/>
              <c:yMode val="edge"/>
              <c:x val="0.50855750839168024"/>
              <c:y val="0.8900029087858862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890968"/>
        <c:crosses val="autoZero"/>
        <c:auto val="1"/>
        <c:lblAlgn val="ctr"/>
        <c:lblOffset val="100"/>
        <c:tickLblSkip val="1"/>
        <c:tickMarkSkip val="1"/>
        <c:noMultiLvlLbl val="0"/>
      </c:catAx>
      <c:valAx>
        <c:axId val="22089096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Metric Tons N</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O</a:t>
                </a:r>
              </a:p>
            </c:rich>
          </c:tx>
          <c:layout>
            <c:manualLayout>
              <c:xMode val="edge"/>
              <c:yMode val="edge"/>
              <c:x val="9.7799737783493389E-3"/>
              <c:y val="0.3333343480260843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0890576"/>
        <c:crosses val="autoZero"/>
        <c:crossBetween val="between"/>
      </c:valAx>
      <c:spPr>
        <a:noFill/>
        <a:ln w="25400">
          <a:noFill/>
        </a:ln>
      </c:spPr>
    </c:plotArea>
    <c:legend>
      <c:legendPos val="r"/>
      <c:layout>
        <c:manualLayout>
          <c:xMode val="edge"/>
          <c:yMode val="edge"/>
          <c:x val="0.24059593538949925"/>
          <c:y val="0.11564625850340136"/>
          <c:w val="0.56739898761845431"/>
          <c:h val="7.0294823496195341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Agriculture!$R$63</c:f>
          <c:strCache>
            <c:ptCount val="1"/>
            <c:pt idx="0">
              <c:v>Indirect Nitrous Oxide Emissions from Ag Soils, 1990-2021</c:v>
            </c:pt>
          </c:strCache>
        </c:strRef>
      </c:tx>
      <c:layout>
        <c:manualLayout>
          <c:xMode val="edge"/>
          <c:yMode val="edge"/>
          <c:x val="0.25713707917657835"/>
          <c:y val="3.4669842341942023E-2"/>
        </c:manualLayout>
      </c:layout>
      <c:overlay val="0"/>
      <c:spPr>
        <a:noFill/>
        <a:ln w="25400">
          <a:noFill/>
        </a:ln>
      </c:spPr>
      <c:txPr>
        <a:bodyPr/>
        <a:lstStyle/>
        <a:p>
          <a:pPr algn="ct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7.8527607361963195E-2"/>
          <c:y val="0.20598040058593844"/>
          <c:w val="0.90429447852760736"/>
          <c:h val="0.59136308555317818"/>
        </c:manualLayout>
      </c:layout>
      <c:lineChart>
        <c:grouping val="standard"/>
        <c:varyColors val="0"/>
        <c:ser>
          <c:idx val="0"/>
          <c:order val="0"/>
          <c:tx>
            <c:strRef>
              <c:f>Agriculture!$B$51</c:f>
              <c:strCache>
                <c:ptCount val="1"/>
                <c:pt idx="0">
                  <c:v>Fertilizers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[0]!ChartRange_Ag_IndirectN2O_Year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[0]!ChartRange_Ag_IndirectN2O_Fertilizers</c:f>
              <c:numCache>
                <c:formatCode>_(* #,##0_);_(* \(#,##0\);_(* "-"??_);_(@_)</c:formatCode>
                <c:ptCount val="32"/>
                <c:pt idx="0">
                  <c:v>2325.5603986729184</c:v>
                </c:pt>
                <c:pt idx="1">
                  <c:v>2232.4684422716728</c:v>
                </c:pt>
                <c:pt idx="2">
                  <c:v>2228.3837368794334</c:v>
                </c:pt>
                <c:pt idx="3">
                  <c:v>2362.3730163115411</c:v>
                </c:pt>
                <c:pt idx="4">
                  <c:v>1956.1298546191535</c:v>
                </c:pt>
                <c:pt idx="5">
                  <c:v>2182.6043234236372</c:v>
                </c:pt>
                <c:pt idx="6">
                  <c:v>2264.8351308375536</c:v>
                </c:pt>
                <c:pt idx="7">
                  <c:v>2100.0869390132329</c:v>
                </c:pt>
                <c:pt idx="8">
                  <c:v>2333.5222113983964</c:v>
                </c:pt>
                <c:pt idx="9">
                  <c:v>2122.3448540445838</c:v>
                </c:pt>
                <c:pt idx="10">
                  <c:v>1876.9917480201295</c:v>
                </c:pt>
                <c:pt idx="11">
                  <c:v>2046.7099596568635</c:v>
                </c:pt>
                <c:pt idx="12">
                  <c:v>1755.8916553810122</c:v>
                </c:pt>
                <c:pt idx="13">
                  <c:v>1839.6834571139054</c:v>
                </c:pt>
                <c:pt idx="14">
                  <c:v>2240.1887598341923</c:v>
                </c:pt>
                <c:pt idx="15">
                  <c:v>1998.9015763256177</c:v>
                </c:pt>
                <c:pt idx="16">
                  <c:v>2107.8848250100709</c:v>
                </c:pt>
                <c:pt idx="17">
                  <c:v>2285.6918401863018</c:v>
                </c:pt>
                <c:pt idx="18">
                  <c:v>2453.6064628333334</c:v>
                </c:pt>
                <c:pt idx="19">
                  <c:v>2302.030126547128</c:v>
                </c:pt>
                <c:pt idx="20">
                  <c:v>2104.1575637731135</c:v>
                </c:pt>
                <c:pt idx="21">
                  <c:v>2319.4647244896219</c:v>
                </c:pt>
                <c:pt idx="22">
                  <c:v>1912.6336799037961</c:v>
                </c:pt>
                <c:pt idx="23">
                  <c:v>2407.7737109127665</c:v>
                </c:pt>
                <c:pt idx="24">
                  <c:v>2545.139279561959</c:v>
                </c:pt>
                <c:pt idx="25">
                  <c:v>2693.9046962254424</c:v>
                </c:pt>
                <c:pt idx="26">
                  <c:v>2356.3294198118006</c:v>
                </c:pt>
                <c:pt idx="27">
                  <c:v>2478.1444837403083</c:v>
                </c:pt>
                <c:pt idx="28">
                  <c:v>2606.4212848915645</c:v>
                </c:pt>
                <c:pt idx="29">
                  <c:v>2568.1295063735361</c:v>
                </c:pt>
                <c:pt idx="30">
                  <c:v>2230.6945315995163</c:v>
                </c:pt>
                <c:pt idx="31">
                  <c:v>1486.3681326302271</c:v>
                </c:pt>
              </c:numCache>
            </c:numRef>
          </c:val>
          <c:smooth val="0"/>
          <c:extLst>
            <c:ext xmlns:c16="http://schemas.microsoft.com/office/drawing/2014/chart" uri="{C3380CC4-5D6E-409C-BE32-E72D297353CC}">
              <c16:uniqueId val="{00000000-D369-4249-9C65-FEE7070D23F0}"/>
            </c:ext>
          </c:extLst>
        </c:ser>
        <c:ser>
          <c:idx val="1"/>
          <c:order val="1"/>
          <c:tx>
            <c:strRef>
              <c:f>Agriculture!$B$52</c:f>
              <c:strCache>
                <c:ptCount val="1"/>
                <c:pt idx="0">
                  <c:v>Livestock</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[0]!ChartRange_Ag_IndirectN2O_Year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[0]!ChartRange_Ag_IndirectN2O_Livestock</c:f>
              <c:numCache>
                <c:formatCode>_(* #,##0_);_(* \(#,##0\);_(* "-"??_);_(@_)</c:formatCode>
                <c:ptCount val="32"/>
                <c:pt idx="0">
                  <c:v>261.48447606122164</c:v>
                </c:pt>
                <c:pt idx="1">
                  <c:v>258.98033038692046</c:v>
                </c:pt>
                <c:pt idx="2">
                  <c:v>264.10917055182347</c:v>
                </c:pt>
                <c:pt idx="3">
                  <c:v>269.42431416254902</c:v>
                </c:pt>
                <c:pt idx="4">
                  <c:v>246.04736401505087</c:v>
                </c:pt>
                <c:pt idx="5">
                  <c:v>240.54083457231994</c:v>
                </c:pt>
                <c:pt idx="6">
                  <c:v>220.42540028767098</c:v>
                </c:pt>
                <c:pt idx="7">
                  <c:v>217.18469063680851</c:v>
                </c:pt>
                <c:pt idx="8">
                  <c:v>230.92688827878723</c:v>
                </c:pt>
                <c:pt idx="9">
                  <c:v>202.31196932934233</c:v>
                </c:pt>
                <c:pt idx="10">
                  <c:v>183.72508240814835</c:v>
                </c:pt>
                <c:pt idx="11">
                  <c:v>205.17700955353041</c:v>
                </c:pt>
                <c:pt idx="12">
                  <c:v>207.0727964782173</c:v>
                </c:pt>
                <c:pt idx="13">
                  <c:v>194.12875353875742</c:v>
                </c:pt>
                <c:pt idx="14">
                  <c:v>205.2105956893908</c:v>
                </c:pt>
                <c:pt idx="15">
                  <c:v>192.55663436121156</c:v>
                </c:pt>
                <c:pt idx="16">
                  <c:v>192.55792686653385</c:v>
                </c:pt>
                <c:pt idx="17">
                  <c:v>202.52968673788175</c:v>
                </c:pt>
                <c:pt idx="18">
                  <c:v>196.82180572028622</c:v>
                </c:pt>
                <c:pt idx="19">
                  <c:v>195.83887882736369</c:v>
                </c:pt>
                <c:pt idx="20">
                  <c:v>191.53518355695772</c:v>
                </c:pt>
                <c:pt idx="21">
                  <c:v>182.02226120162553</c:v>
                </c:pt>
                <c:pt idx="22">
                  <c:v>175.69218675404616</c:v>
                </c:pt>
                <c:pt idx="23">
                  <c:v>201.80479703386965</c:v>
                </c:pt>
                <c:pt idx="24">
                  <c:v>189.17855955642531</c:v>
                </c:pt>
                <c:pt idx="25">
                  <c:v>214.25153782367715</c:v>
                </c:pt>
                <c:pt idx="26">
                  <c:v>204.25780745607329</c:v>
                </c:pt>
                <c:pt idx="27">
                  <c:v>205.26374614940713</c:v>
                </c:pt>
                <c:pt idx="28">
                  <c:v>222.01511394986497</c:v>
                </c:pt>
                <c:pt idx="29">
                  <c:v>213.49323611779468</c:v>
                </c:pt>
                <c:pt idx="30">
                  <c:v>190.75147392390906</c:v>
                </c:pt>
                <c:pt idx="31">
                  <c:v>195.44516997874058</c:v>
                </c:pt>
              </c:numCache>
            </c:numRef>
          </c:val>
          <c:smooth val="0"/>
          <c:extLst>
            <c:ext xmlns:c16="http://schemas.microsoft.com/office/drawing/2014/chart" uri="{C3380CC4-5D6E-409C-BE32-E72D297353CC}">
              <c16:uniqueId val="{00000001-D369-4249-9C65-FEE7070D23F0}"/>
            </c:ext>
          </c:extLst>
        </c:ser>
        <c:ser>
          <c:idx val="2"/>
          <c:order val="2"/>
          <c:tx>
            <c:strRef>
              <c:f>Agriculture!$B$53</c:f>
              <c:strCache>
                <c:ptCount val="1"/>
                <c:pt idx="0">
                  <c:v>Leaching/Runoff</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[0]!ChartRange_Ag_IndirectN2O_Year</c:f>
              <c:numCache>
                <c:formatCode>General</c:formatCode>
                <c:ptCount val="32"/>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numCache>
            </c:numRef>
          </c:cat>
          <c:val>
            <c:numRef>
              <c:f>[0]!ChartRange_Ag_IndirectN2O_Leaching_Runoff</c:f>
              <c:numCache>
                <c:formatCode>_(* #,##0_);_(* \(#,##0\);_(* "-"??_);_(@_)</c:formatCode>
                <c:ptCount val="32"/>
                <c:pt idx="0">
                  <c:v>5003.213470762722</c:v>
                </c:pt>
                <c:pt idx="1">
                  <c:v>4811.7819539837647</c:v>
                </c:pt>
                <c:pt idx="2">
                  <c:v>4809.224067604112</c:v>
                </c:pt>
                <c:pt idx="3">
                  <c:v>5086.5618712332043</c:v>
                </c:pt>
                <c:pt idx="4">
                  <c:v>4237.7174820960481</c:v>
                </c:pt>
                <c:pt idx="5">
                  <c:v>4690.0309806781215</c:v>
                </c:pt>
                <c:pt idx="6">
                  <c:v>4833.9024519851864</c:v>
                </c:pt>
                <c:pt idx="7">
                  <c:v>4496.6856314223887</c:v>
                </c:pt>
                <c:pt idx="8">
                  <c:v>4984.7889688102723</c:v>
                </c:pt>
                <c:pt idx="9">
                  <c:v>4524.9717491953488</c:v>
                </c:pt>
                <c:pt idx="10">
                  <c:v>4007.1873082553257</c:v>
                </c:pt>
                <c:pt idx="11">
                  <c:v>4374.9631354576832</c:v>
                </c:pt>
                <c:pt idx="12">
                  <c:v>3788.3600759626725</c:v>
                </c:pt>
                <c:pt idx="13">
                  <c:v>3943.4851919631101</c:v>
                </c:pt>
                <c:pt idx="14">
                  <c:v>4766.9080400941966</c:v>
                </c:pt>
                <c:pt idx="15">
                  <c:v>4264.0287551150896</c:v>
                </c:pt>
                <c:pt idx="16">
                  <c:v>4484.7253675275078</c:v>
                </c:pt>
                <c:pt idx="17">
                  <c:v>4855.9381658550783</c:v>
                </c:pt>
                <c:pt idx="18">
                  <c:v>5189.540147455753</c:v>
                </c:pt>
                <c:pt idx="19">
                  <c:v>4881.4735187003917</c:v>
                </c:pt>
                <c:pt idx="20">
                  <c:v>4476.0833619309415</c:v>
                </c:pt>
                <c:pt idx="21">
                  <c:v>4901.357951489832</c:v>
                </c:pt>
                <c:pt idx="22">
                  <c:v>4070.3773444577846</c:v>
                </c:pt>
                <c:pt idx="23">
                  <c:v>5102.1650964913406</c:v>
                </c:pt>
                <c:pt idx="24">
                  <c:v>5366.1498157762662</c:v>
                </c:pt>
                <c:pt idx="25">
                  <c:v>5695.5896883281048</c:v>
                </c:pt>
                <c:pt idx="26">
                  <c:v>5000.8320311811849</c:v>
                </c:pt>
                <c:pt idx="27">
                  <c:v>5248.6120717657595</c:v>
                </c:pt>
                <c:pt idx="28">
                  <c:v>5527.1892980579214</c:v>
                </c:pt>
                <c:pt idx="29">
                  <c:v>5440.069866822023</c:v>
                </c:pt>
                <c:pt idx="30">
                  <c:v>4731.2547534263758</c:v>
                </c:pt>
                <c:pt idx="31">
                  <c:v>3151.8492389566227</c:v>
                </c:pt>
              </c:numCache>
            </c:numRef>
          </c:val>
          <c:smooth val="0"/>
          <c:extLst>
            <c:ext xmlns:c16="http://schemas.microsoft.com/office/drawing/2014/chart" uri="{C3380CC4-5D6E-409C-BE32-E72D297353CC}">
              <c16:uniqueId val="{00000002-D369-4249-9C65-FEE7070D23F0}"/>
            </c:ext>
          </c:extLst>
        </c:ser>
        <c:dLbls>
          <c:showLegendKey val="0"/>
          <c:showVal val="0"/>
          <c:showCatName val="0"/>
          <c:showSerName val="0"/>
          <c:showPercent val="0"/>
          <c:showBubbleSize val="0"/>
        </c:dLbls>
        <c:marker val="1"/>
        <c:smooth val="0"/>
        <c:axId val="220891752"/>
        <c:axId val="220892144"/>
      </c:lineChart>
      <c:catAx>
        <c:axId val="2208917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892144"/>
        <c:crosses val="autoZero"/>
        <c:auto val="1"/>
        <c:lblAlgn val="ctr"/>
        <c:lblOffset val="100"/>
        <c:tickLblSkip val="1"/>
        <c:tickMarkSkip val="1"/>
        <c:noMultiLvlLbl val="0"/>
      </c:catAx>
      <c:valAx>
        <c:axId val="22089214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Metric Tons N</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O</a:t>
                </a:r>
              </a:p>
            </c:rich>
          </c:tx>
          <c:layout>
            <c:manualLayout>
              <c:xMode val="edge"/>
              <c:yMode val="edge"/>
              <c:x val="6.1349201578810289E-3"/>
              <c:y val="0.31561511541826498"/>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0891752"/>
        <c:crosses val="autoZero"/>
        <c:crossBetween val="between"/>
      </c:valAx>
      <c:spPr>
        <a:solidFill>
          <a:srgbClr val="FFFFFF"/>
        </a:solidFill>
        <a:ln w="12700">
          <a:solidFill>
            <a:srgbClr val="808080"/>
          </a:solidFill>
          <a:prstDash val="solid"/>
        </a:ln>
      </c:spPr>
    </c:plotArea>
    <c:legend>
      <c:legendPos val="r"/>
      <c:layout>
        <c:manualLayout>
          <c:xMode val="edge"/>
          <c:yMode val="edge"/>
          <c:x val="0.37158624507874016"/>
          <c:y val="0.11738184532802474"/>
          <c:w val="0.35441088688866645"/>
          <c:h val="6.9977542332015266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CO2FFC!$AA$41</c:f>
          <c:strCache>
            <c:ptCount val="1"/>
            <c:pt idx="0">
              <c:v>Emissions by Sector, 1990-2020</c:v>
            </c:pt>
          </c:strCache>
        </c:strRef>
      </c:tx>
      <c:layout>
        <c:manualLayout>
          <c:xMode val="edge"/>
          <c:yMode val="edge"/>
          <c:x val="0.33906659318591892"/>
          <c:y val="1.7064945370200816E-2"/>
        </c:manualLayout>
      </c:layout>
      <c:overlay val="0"/>
      <c:spPr>
        <a:noFill/>
        <a:ln w="25400">
          <a:noFill/>
        </a:ln>
      </c:spPr>
      <c:txPr>
        <a:bodyPr/>
        <a:lstStyle/>
        <a:p>
          <a:pPr>
            <a:defRPr sz="1175"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779797385139942E-2"/>
          <c:y val="0.2764505119453925"/>
          <c:w val="0.88500367944661129"/>
          <c:h val="0.50853242320819114"/>
        </c:manualLayout>
      </c:layout>
      <c:lineChart>
        <c:grouping val="standard"/>
        <c:varyColors val="0"/>
        <c:ser>
          <c:idx val="0"/>
          <c:order val="0"/>
          <c:tx>
            <c:strRef>
              <c:f>CO2FFC!$B$4</c:f>
              <c:strCache>
                <c:ptCount val="1"/>
                <c:pt idx="0">
                  <c:v>Residential</c:v>
                </c:pt>
              </c:strCache>
            </c:strRef>
          </c:tx>
          <c:spPr>
            <a:ln w="12700">
              <a:solidFill>
                <a:srgbClr val="FF9900"/>
              </a:solidFill>
              <a:prstDash val="solid"/>
            </a:ln>
          </c:spPr>
          <c:marker>
            <c:symbol val="diamond"/>
            <c:size val="5"/>
            <c:spPr>
              <a:solidFill>
                <a:srgbClr val="FF9900"/>
              </a:solidFill>
              <a:ln>
                <a:solidFill>
                  <a:srgbClr val="FF99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[0]!ChartRange_CO2FFC_Residential</c:f>
              <c:numCache>
                <c:formatCode>_(* #,##0.00_);_(* \(#,##0.00\);_(* "-"??_);_(@_)</c:formatCode>
                <c:ptCount val="31"/>
                <c:pt idx="0">
                  <c:v>25.489661512349073</c:v>
                </c:pt>
                <c:pt idx="1">
                  <c:v>26.815454204018909</c:v>
                </c:pt>
                <c:pt idx="2">
                  <c:v>27.098271499006575</c:v>
                </c:pt>
                <c:pt idx="3">
                  <c:v>28.218687428251165</c:v>
                </c:pt>
                <c:pt idx="4">
                  <c:v>26.991117294813385</c:v>
                </c:pt>
                <c:pt idx="5">
                  <c:v>28.464069023048442</c:v>
                </c:pt>
                <c:pt idx="6">
                  <c:v>30.795756215395105</c:v>
                </c:pt>
                <c:pt idx="7">
                  <c:v>28.640961583827778</c:v>
                </c:pt>
                <c:pt idx="8">
                  <c:v>23.57071986385899</c:v>
                </c:pt>
                <c:pt idx="9">
                  <c:v>26.191193764339754</c:v>
                </c:pt>
                <c:pt idx="10">
                  <c:v>26.929614755568046</c:v>
                </c:pt>
                <c:pt idx="11">
                  <c:v>24.333396371920291</c:v>
                </c:pt>
                <c:pt idx="12">
                  <c:v>26.236686296845203</c:v>
                </c:pt>
                <c:pt idx="13">
                  <c:v>26.811123052177063</c:v>
                </c:pt>
                <c:pt idx="14">
                  <c:v>25.10726973463423</c:v>
                </c:pt>
                <c:pt idx="15">
                  <c:v>24.759875903636559</c:v>
                </c:pt>
                <c:pt idx="16">
                  <c:v>22.713452835549436</c:v>
                </c:pt>
                <c:pt idx="17">
                  <c:v>24.70979095841184</c:v>
                </c:pt>
                <c:pt idx="18">
                  <c:v>26.887524586176752</c:v>
                </c:pt>
                <c:pt idx="19">
                  <c:v>25.288591571368752</c:v>
                </c:pt>
                <c:pt idx="20">
                  <c:v>23.943752938326607</c:v>
                </c:pt>
                <c:pt idx="21">
                  <c:v>23.901158218305344</c:v>
                </c:pt>
                <c:pt idx="22">
                  <c:v>20.552724633178624</c:v>
                </c:pt>
                <c:pt idx="23">
                  <c:v>26.025541744510466</c:v>
                </c:pt>
                <c:pt idx="24">
                  <c:v>27.350351673190207</c:v>
                </c:pt>
                <c:pt idx="25">
                  <c:v>23.092869213832671</c:v>
                </c:pt>
                <c:pt idx="26">
                  <c:v>22.312260058081968</c:v>
                </c:pt>
                <c:pt idx="27">
                  <c:v>21.753695606516402</c:v>
                </c:pt>
                <c:pt idx="28">
                  <c:v>25.312859686139806</c:v>
                </c:pt>
                <c:pt idx="29">
                  <c:v>25.714815239372054</c:v>
                </c:pt>
                <c:pt idx="30">
                  <c:v>23.44894290650284</c:v>
                </c:pt>
              </c:numCache>
            </c:numRef>
          </c:val>
          <c:smooth val="0"/>
          <c:extLst>
            <c:ext xmlns:c16="http://schemas.microsoft.com/office/drawing/2014/chart" uri="{C3380CC4-5D6E-409C-BE32-E72D297353CC}">
              <c16:uniqueId val="{00000000-24AA-4DDA-B846-4F4B2CFFE00F}"/>
            </c:ext>
          </c:extLst>
        </c:ser>
        <c:ser>
          <c:idx val="1"/>
          <c:order val="1"/>
          <c:tx>
            <c:strRef>
              <c:f>CO2FFC!$B$9</c:f>
              <c:strCache>
                <c:ptCount val="1"/>
                <c:pt idx="0">
                  <c:v>Commercial</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[0]!ChartRange_CO2FFC_Commercial</c:f>
              <c:numCache>
                <c:formatCode>_(* #,##0.00_);_(* \(#,##0.00\);_(* "-"??_);_(@_)</c:formatCode>
                <c:ptCount val="31"/>
                <c:pt idx="0">
                  <c:v>12.528544487058337</c:v>
                </c:pt>
                <c:pt idx="1">
                  <c:v>11.992830568628763</c:v>
                </c:pt>
                <c:pt idx="2">
                  <c:v>12.233416779481523</c:v>
                </c:pt>
                <c:pt idx="3">
                  <c:v>12.576737939749759</c:v>
                </c:pt>
                <c:pt idx="4">
                  <c:v>12.297930381616684</c:v>
                </c:pt>
                <c:pt idx="5">
                  <c:v>12.518337028302982</c:v>
                </c:pt>
                <c:pt idx="6">
                  <c:v>13.327969168684934</c:v>
                </c:pt>
                <c:pt idx="7">
                  <c:v>12.914639256935573</c:v>
                </c:pt>
                <c:pt idx="8">
                  <c:v>11.045386979159538</c:v>
                </c:pt>
                <c:pt idx="9">
                  <c:v>11.580779982183403</c:v>
                </c:pt>
                <c:pt idx="10">
                  <c:v>12.409748429288573</c:v>
                </c:pt>
                <c:pt idx="11">
                  <c:v>11.779421347608483</c:v>
                </c:pt>
                <c:pt idx="12">
                  <c:v>12.429013610809664</c:v>
                </c:pt>
                <c:pt idx="13">
                  <c:v>12.905453132592978</c:v>
                </c:pt>
                <c:pt idx="14">
                  <c:v>12.223488525724489</c:v>
                </c:pt>
                <c:pt idx="15">
                  <c:v>11.849211426375946</c:v>
                </c:pt>
                <c:pt idx="16">
                  <c:v>11.603892579444354</c:v>
                </c:pt>
                <c:pt idx="17">
                  <c:v>11.845393341349993</c:v>
                </c:pt>
                <c:pt idx="18">
                  <c:v>13.241253357270898</c:v>
                </c:pt>
                <c:pt idx="19">
                  <c:v>13.236790193117187</c:v>
                </c:pt>
                <c:pt idx="20">
                  <c:v>11.621727169553324</c:v>
                </c:pt>
                <c:pt idx="21">
                  <c:v>12.536203176282713</c:v>
                </c:pt>
                <c:pt idx="22">
                  <c:v>11.012939138912774</c:v>
                </c:pt>
                <c:pt idx="23">
                  <c:v>13.588976901253147</c:v>
                </c:pt>
                <c:pt idx="24">
                  <c:v>14.41224493355503</c:v>
                </c:pt>
                <c:pt idx="25">
                  <c:v>13.471504810728293</c:v>
                </c:pt>
                <c:pt idx="26">
                  <c:v>13.34474770163297</c:v>
                </c:pt>
                <c:pt idx="27">
                  <c:v>13.550848593506435</c:v>
                </c:pt>
                <c:pt idx="28">
                  <c:v>14.946964122854249</c:v>
                </c:pt>
                <c:pt idx="29">
                  <c:v>15.35346204343762</c:v>
                </c:pt>
                <c:pt idx="30">
                  <c:v>13.641580495479896</c:v>
                </c:pt>
              </c:numCache>
            </c:numRef>
          </c:val>
          <c:smooth val="0"/>
          <c:extLst>
            <c:ext xmlns:c16="http://schemas.microsoft.com/office/drawing/2014/chart" uri="{C3380CC4-5D6E-409C-BE32-E72D297353CC}">
              <c16:uniqueId val="{00000001-24AA-4DDA-B846-4F4B2CFFE00F}"/>
            </c:ext>
          </c:extLst>
        </c:ser>
        <c:ser>
          <c:idx val="2"/>
          <c:order val="2"/>
          <c:tx>
            <c:strRef>
              <c:f>CO2FFC!$B$14</c:f>
              <c:strCache>
                <c:ptCount val="1"/>
                <c:pt idx="0">
                  <c:v>Industrial</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[0]!ChartRange_CO2FFC_Industrial</c:f>
              <c:numCache>
                <c:formatCode>_(* #,##0.00_);_(* \(#,##0.00\);_(* "-"??_);_(@_)</c:formatCode>
                <c:ptCount val="31"/>
                <c:pt idx="0">
                  <c:v>42.315155793350478</c:v>
                </c:pt>
                <c:pt idx="1">
                  <c:v>42.496878043083946</c:v>
                </c:pt>
                <c:pt idx="2">
                  <c:v>42.998199265120171</c:v>
                </c:pt>
                <c:pt idx="3">
                  <c:v>43.423545763989864</c:v>
                </c:pt>
                <c:pt idx="4">
                  <c:v>45.947255675971142</c:v>
                </c:pt>
                <c:pt idx="5">
                  <c:v>45.680769029637361</c:v>
                </c:pt>
                <c:pt idx="6">
                  <c:v>47.094520824306713</c:v>
                </c:pt>
                <c:pt idx="7">
                  <c:v>46.906636631450368</c:v>
                </c:pt>
                <c:pt idx="8">
                  <c:v>45.493199683992003</c:v>
                </c:pt>
                <c:pt idx="9">
                  <c:v>46.598668721949693</c:v>
                </c:pt>
                <c:pt idx="10">
                  <c:v>43.700895630000076</c:v>
                </c:pt>
                <c:pt idx="11">
                  <c:v>41.867136566339568</c:v>
                </c:pt>
                <c:pt idx="12">
                  <c:v>42.43250055897748</c:v>
                </c:pt>
                <c:pt idx="13">
                  <c:v>41.494163625593714</c:v>
                </c:pt>
                <c:pt idx="14">
                  <c:v>41.671471007735192</c:v>
                </c:pt>
                <c:pt idx="15">
                  <c:v>42.816280242525771</c:v>
                </c:pt>
                <c:pt idx="16">
                  <c:v>41.621053947430781</c:v>
                </c:pt>
                <c:pt idx="17">
                  <c:v>41.124395031494636</c:v>
                </c:pt>
                <c:pt idx="18">
                  <c:v>41.27581282780622</c:v>
                </c:pt>
                <c:pt idx="19">
                  <c:v>35.207490992560544</c:v>
                </c:pt>
                <c:pt idx="20">
                  <c:v>39.505438162367383</c:v>
                </c:pt>
                <c:pt idx="21">
                  <c:v>39.069840228246136</c:v>
                </c:pt>
                <c:pt idx="22">
                  <c:v>38.672324137509726</c:v>
                </c:pt>
                <c:pt idx="23">
                  <c:v>40.054601676969881</c:v>
                </c:pt>
                <c:pt idx="24">
                  <c:v>40.56682007917393</c:v>
                </c:pt>
                <c:pt idx="25">
                  <c:v>38.564177133816813</c:v>
                </c:pt>
                <c:pt idx="26">
                  <c:v>37.956106791349953</c:v>
                </c:pt>
                <c:pt idx="27">
                  <c:v>37.918679642425438</c:v>
                </c:pt>
                <c:pt idx="28">
                  <c:v>37.896519123478448</c:v>
                </c:pt>
                <c:pt idx="29">
                  <c:v>38.597978021064101</c:v>
                </c:pt>
                <c:pt idx="30">
                  <c:v>37.835831486449926</c:v>
                </c:pt>
              </c:numCache>
            </c:numRef>
          </c:val>
          <c:smooth val="0"/>
          <c:extLst>
            <c:ext xmlns:c16="http://schemas.microsoft.com/office/drawing/2014/chart" uri="{C3380CC4-5D6E-409C-BE32-E72D297353CC}">
              <c16:uniqueId val="{00000002-24AA-4DDA-B846-4F4B2CFFE00F}"/>
            </c:ext>
          </c:extLst>
        </c:ser>
        <c:ser>
          <c:idx val="3"/>
          <c:order val="3"/>
          <c:tx>
            <c:strRef>
              <c:f>CO2FFC!$B$19</c:f>
              <c:strCache>
                <c:ptCount val="1"/>
                <c:pt idx="0">
                  <c:v>Transportation</c:v>
                </c:pt>
              </c:strCache>
            </c:strRef>
          </c:tx>
          <c:spPr>
            <a:ln w="12700">
              <a:solidFill>
                <a:srgbClr val="FF0000"/>
              </a:solidFill>
              <a:prstDash val="solid"/>
            </a:ln>
          </c:spPr>
          <c:marker>
            <c:symbol val="x"/>
            <c:size val="5"/>
            <c:spPr>
              <a:noFill/>
              <a:ln>
                <a:solidFill>
                  <a:srgbClr val="FF00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[0]!ChartRange_CO2FFC_Transportation</c:f>
              <c:numCache>
                <c:formatCode>_(* #,##0.00_);_(* \(#,##0.00\);_(* "-"??_);_(@_)</c:formatCode>
                <c:ptCount val="31"/>
                <c:pt idx="0">
                  <c:v>53.937814439243368</c:v>
                </c:pt>
                <c:pt idx="1">
                  <c:v>51.348969120421835</c:v>
                </c:pt>
                <c:pt idx="2">
                  <c:v>52.097332990326429</c:v>
                </c:pt>
                <c:pt idx="3">
                  <c:v>54.886136677149267</c:v>
                </c:pt>
                <c:pt idx="4">
                  <c:v>52.93507969049756</c:v>
                </c:pt>
                <c:pt idx="5">
                  <c:v>54.458902525121317</c:v>
                </c:pt>
                <c:pt idx="6">
                  <c:v>56.431420944529243</c:v>
                </c:pt>
                <c:pt idx="7">
                  <c:v>56.680388775347552</c:v>
                </c:pt>
                <c:pt idx="8">
                  <c:v>57.764047754409383</c:v>
                </c:pt>
                <c:pt idx="9">
                  <c:v>63.470442707065175</c:v>
                </c:pt>
                <c:pt idx="10">
                  <c:v>65.111364968091891</c:v>
                </c:pt>
                <c:pt idx="11">
                  <c:v>63.0056235601784</c:v>
                </c:pt>
                <c:pt idx="12">
                  <c:v>61.333795669311442</c:v>
                </c:pt>
                <c:pt idx="13">
                  <c:v>64.780479493276616</c:v>
                </c:pt>
                <c:pt idx="14">
                  <c:v>66.913164920008342</c:v>
                </c:pt>
                <c:pt idx="15">
                  <c:v>72.466932902062766</c:v>
                </c:pt>
                <c:pt idx="16">
                  <c:v>69.941486090168411</c:v>
                </c:pt>
                <c:pt idx="17">
                  <c:v>69.664428014236037</c:v>
                </c:pt>
                <c:pt idx="18">
                  <c:v>65.377284930180849</c:v>
                </c:pt>
                <c:pt idx="19">
                  <c:v>64.259707847351791</c:v>
                </c:pt>
                <c:pt idx="20">
                  <c:v>63.377497784913103</c:v>
                </c:pt>
                <c:pt idx="21">
                  <c:v>62.694866827941439</c:v>
                </c:pt>
                <c:pt idx="22">
                  <c:v>60.38092723344441</c:v>
                </c:pt>
                <c:pt idx="23">
                  <c:v>61.492898793143929</c:v>
                </c:pt>
                <c:pt idx="24">
                  <c:v>62.987304889354661</c:v>
                </c:pt>
                <c:pt idx="25">
                  <c:v>65.594416265299728</c:v>
                </c:pt>
                <c:pt idx="26">
                  <c:v>65.368490097040052</c:v>
                </c:pt>
                <c:pt idx="27">
                  <c:v>65.706853893481878</c:v>
                </c:pt>
                <c:pt idx="28">
                  <c:v>65.81053054464688</c:v>
                </c:pt>
                <c:pt idx="29">
                  <c:v>63.988637964132941</c:v>
                </c:pt>
                <c:pt idx="30">
                  <c:v>52.74810382170282</c:v>
                </c:pt>
              </c:numCache>
            </c:numRef>
          </c:val>
          <c:smooth val="0"/>
          <c:extLst>
            <c:ext xmlns:c16="http://schemas.microsoft.com/office/drawing/2014/chart" uri="{C3380CC4-5D6E-409C-BE32-E72D297353CC}">
              <c16:uniqueId val="{00000003-24AA-4DDA-B846-4F4B2CFFE00F}"/>
            </c:ext>
          </c:extLst>
        </c:ser>
        <c:ser>
          <c:idx val="4"/>
          <c:order val="4"/>
          <c:tx>
            <c:strRef>
              <c:f>CO2FFC!$B$24</c:f>
              <c:strCache>
                <c:ptCount val="1"/>
                <c:pt idx="0">
                  <c:v>Electric Utilities</c:v>
                </c:pt>
              </c:strCache>
            </c:strRef>
          </c:tx>
          <c:spPr>
            <a:ln w="12700">
              <a:solidFill>
                <a:srgbClr val="800080"/>
              </a:solidFill>
              <a:prstDash val="solid"/>
            </a:ln>
          </c:spPr>
          <c:marker>
            <c:symbol val="star"/>
            <c:size val="5"/>
            <c:spPr>
              <a:noFill/>
              <a:ln>
                <a:solidFill>
                  <a:srgbClr val="80008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[0]!ChartRange_CO2FFC_Electric_Utilities</c:f>
              <c:numCache>
                <c:formatCode>_(* #,##0.00_);_(* \(#,##0.00\);_(* "-"??_);_(@_)</c:formatCode>
                <c:ptCount val="31"/>
                <c:pt idx="0">
                  <c:v>57.730111067338278</c:v>
                </c:pt>
                <c:pt idx="1">
                  <c:v>58.776802190224416</c:v>
                </c:pt>
                <c:pt idx="2">
                  <c:v>53.504014031175323</c:v>
                </c:pt>
                <c:pt idx="3">
                  <c:v>64.32527928332641</c:v>
                </c:pt>
                <c:pt idx="4">
                  <c:v>66.694933756113315</c:v>
                </c:pt>
                <c:pt idx="5">
                  <c:v>67.413081432907333</c:v>
                </c:pt>
                <c:pt idx="6">
                  <c:v>75.102695673377326</c:v>
                </c:pt>
                <c:pt idx="7">
                  <c:v>80.158650037485756</c:v>
                </c:pt>
                <c:pt idx="8">
                  <c:v>79.142897687801792</c:v>
                </c:pt>
                <c:pt idx="9">
                  <c:v>80.08430693492069</c:v>
                </c:pt>
                <c:pt idx="10">
                  <c:v>86.482490206636115</c:v>
                </c:pt>
                <c:pt idx="11">
                  <c:v>86.567319372608907</c:v>
                </c:pt>
                <c:pt idx="12">
                  <c:v>89.218421579776034</c:v>
                </c:pt>
                <c:pt idx="13">
                  <c:v>89.398252738720032</c:v>
                </c:pt>
                <c:pt idx="14">
                  <c:v>95.202651409071223</c:v>
                </c:pt>
                <c:pt idx="15">
                  <c:v>94.490092691006666</c:v>
                </c:pt>
                <c:pt idx="16">
                  <c:v>92.848055140410509</c:v>
                </c:pt>
                <c:pt idx="17">
                  <c:v>97.864434835483053</c:v>
                </c:pt>
                <c:pt idx="18">
                  <c:v>97.778513561827808</c:v>
                </c:pt>
                <c:pt idx="19">
                  <c:v>91.385039799970656</c:v>
                </c:pt>
                <c:pt idx="20">
                  <c:v>95.128501721680379</c:v>
                </c:pt>
                <c:pt idx="21">
                  <c:v>92.25755410292625</c:v>
                </c:pt>
                <c:pt idx="22">
                  <c:v>86.349693523507355</c:v>
                </c:pt>
                <c:pt idx="23">
                  <c:v>90.041477801565932</c:v>
                </c:pt>
                <c:pt idx="24">
                  <c:v>88.833251097251278</c:v>
                </c:pt>
                <c:pt idx="25">
                  <c:v>77.37223926607966</c:v>
                </c:pt>
                <c:pt idx="26">
                  <c:v>67.175186873173331</c:v>
                </c:pt>
                <c:pt idx="27">
                  <c:v>65.187663746273415</c:v>
                </c:pt>
                <c:pt idx="28">
                  <c:v>67.100576181935139</c:v>
                </c:pt>
                <c:pt idx="29">
                  <c:v>58.192254427261602</c:v>
                </c:pt>
                <c:pt idx="30">
                  <c:v>42.602146259352736</c:v>
                </c:pt>
              </c:numCache>
            </c:numRef>
          </c:val>
          <c:smooth val="0"/>
          <c:extLst>
            <c:ext xmlns:c16="http://schemas.microsoft.com/office/drawing/2014/chart" uri="{C3380CC4-5D6E-409C-BE32-E72D297353CC}">
              <c16:uniqueId val="{00000004-24AA-4DDA-B846-4F4B2CFFE00F}"/>
            </c:ext>
          </c:extLst>
        </c:ser>
        <c:ser>
          <c:idx val="5"/>
          <c:order val="5"/>
          <c:tx>
            <c:strRef>
              <c:f>CO2FFC!$B$29</c:f>
              <c:strCache>
                <c:ptCount val="1"/>
                <c:pt idx="0">
                  <c:v>International Bunker Fuels</c:v>
                </c:pt>
              </c:strCache>
            </c:strRef>
          </c:tx>
          <c:spPr>
            <a:ln w="12700">
              <a:solidFill>
                <a:srgbClr val="FFFF00"/>
              </a:solidFill>
              <a:prstDash val="solid"/>
            </a:ln>
          </c:spPr>
          <c:marker>
            <c:symbol val="circle"/>
            <c:size val="5"/>
            <c:spPr>
              <a:solidFill>
                <a:srgbClr val="FFFF00"/>
              </a:solidFill>
              <a:ln>
                <a:solidFill>
                  <a:srgbClr val="FFFF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[0]!ChartRange_CO2FFC_International_Bunker_Fuels</c:f>
              <c:numCache>
                <c:formatCode>_(* #,##0.00_);_(* \(#,##0.00\);_(* "-"??_);_(@_)</c:formatCode>
                <c:ptCount val="31"/>
                <c:pt idx="0">
                  <c:v>0.55109940484991871</c:v>
                </c:pt>
                <c:pt idx="1">
                  <c:v>0.8601127328461593</c:v>
                </c:pt>
                <c:pt idx="2">
                  <c:v>0.94555947767132142</c:v>
                </c:pt>
                <c:pt idx="3">
                  <c:v>1.0866615555681607</c:v>
                </c:pt>
                <c:pt idx="4">
                  <c:v>1.1219139710073065</c:v>
                </c:pt>
                <c:pt idx="5">
                  <c:v>1.1407910917520001</c:v>
                </c:pt>
                <c:pt idx="6">
                  <c:v>1.258465289891227</c:v>
                </c:pt>
                <c:pt idx="7">
                  <c:v>1.3457100046427064</c:v>
                </c:pt>
                <c:pt idx="8">
                  <c:v>1.4189946039168111</c:v>
                </c:pt>
                <c:pt idx="9">
                  <c:v>1.884995521646575</c:v>
                </c:pt>
                <c:pt idx="10">
                  <c:v>2.4365890155916312</c:v>
                </c:pt>
                <c:pt idx="11">
                  <c:v>1.9347075341306537</c:v>
                </c:pt>
                <c:pt idx="12">
                  <c:v>1.4534998497192824</c:v>
                </c:pt>
                <c:pt idx="13">
                  <c:v>1.5304438350522145</c:v>
                </c:pt>
                <c:pt idx="14">
                  <c:v>2.6279296459949011</c:v>
                </c:pt>
                <c:pt idx="15">
                  <c:v>4.4780779570944471</c:v>
                </c:pt>
                <c:pt idx="16">
                  <c:v>3.3526095031984826</c:v>
                </c:pt>
                <c:pt idx="17">
                  <c:v>3.4715571483638321</c:v>
                </c:pt>
                <c:pt idx="18">
                  <c:v>3.3426762928189024</c:v>
                </c:pt>
                <c:pt idx="19">
                  <c:v>3.0357949706759007</c:v>
                </c:pt>
                <c:pt idx="20">
                  <c:v>3.638704485437243</c:v>
                </c:pt>
                <c:pt idx="21">
                  <c:v>3.7895567698923287</c:v>
                </c:pt>
                <c:pt idx="22">
                  <c:v>3.6779065194207803</c:v>
                </c:pt>
                <c:pt idx="23">
                  <c:v>3.6842367049374185</c:v>
                </c:pt>
                <c:pt idx="24">
                  <c:v>3.9488012172501983</c:v>
                </c:pt>
                <c:pt idx="25">
                  <c:v>4.1735785140546167</c:v>
                </c:pt>
                <c:pt idx="26">
                  <c:v>4.251188448740769</c:v>
                </c:pt>
                <c:pt idx="27">
                  <c:v>4.3080628839662172</c:v>
                </c:pt>
                <c:pt idx="28">
                  <c:v>4.296575118898633</c:v>
                </c:pt>
                <c:pt idx="29">
                  <c:v>3.97173239262378</c:v>
                </c:pt>
                <c:pt idx="30">
                  <c:v>2.0012278012351081</c:v>
                </c:pt>
              </c:numCache>
            </c:numRef>
          </c:val>
          <c:smooth val="0"/>
          <c:extLst>
            <c:ext xmlns:c16="http://schemas.microsoft.com/office/drawing/2014/chart" uri="{C3380CC4-5D6E-409C-BE32-E72D297353CC}">
              <c16:uniqueId val="{00000005-24AA-4DDA-B846-4F4B2CFFE00F}"/>
            </c:ext>
          </c:extLst>
        </c:ser>
        <c:ser>
          <c:idx val="6"/>
          <c:order val="6"/>
          <c:tx>
            <c:strRef>
              <c:f>CO2FFC!$B$35</c:f>
              <c:strCache>
                <c:ptCount val="1"/>
                <c:pt idx="0">
                  <c:v>Other</c:v>
                </c:pt>
              </c:strCache>
            </c:strRef>
          </c:tx>
          <c:spPr>
            <a:ln w="12700">
              <a:solidFill>
                <a:srgbClr val="993300"/>
              </a:solidFill>
              <a:prstDash val="solid"/>
            </a:ln>
          </c:spPr>
          <c:marker>
            <c:symbol val="plus"/>
            <c:size val="5"/>
            <c:spPr>
              <a:noFill/>
              <a:ln>
                <a:solidFill>
                  <a:srgbClr val="993300"/>
                </a:solidFill>
                <a:prstDash val="solid"/>
              </a:ln>
            </c:spPr>
          </c:marker>
          <c:cat>
            <c:numRef>
              <c:f>[0]!ChartRange_CO2FFC_Year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[0]!ChartRange_CO2FFC_Other</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6-24AA-4DDA-B846-4F4B2CFFE00F}"/>
            </c:ext>
          </c:extLst>
        </c:ser>
        <c:ser>
          <c:idx val="7"/>
          <c:order val="7"/>
          <c:tx>
            <c:v>Additional Emissions Source</c:v>
          </c:tx>
          <c:spPr>
            <a:ln w="12700"/>
          </c:spPr>
          <c:marker>
            <c:spPr>
              <a:ln w="12700"/>
            </c:spPr>
          </c:marker>
          <c:val>
            <c:numRef>
              <c:f>CO2FFC!$C$36:$AF$36</c:f>
              <c:numCache>
                <c:formatCode>_(* #,##0.00_);_(* \(#,##0.00\);_(* "-"??_);_(@_)</c:formatCode>
                <c:ptCount val="30"/>
              </c:numCache>
            </c:numRef>
          </c:val>
          <c:smooth val="0"/>
          <c:extLst>
            <c:ext xmlns:c16="http://schemas.microsoft.com/office/drawing/2014/chart" uri="{C3380CC4-5D6E-409C-BE32-E72D297353CC}">
              <c16:uniqueId val="{00000002-1F6A-4752-A84F-38A4015395E2}"/>
            </c:ext>
          </c:extLst>
        </c:ser>
        <c:dLbls>
          <c:showLegendKey val="0"/>
          <c:showVal val="0"/>
          <c:showCatName val="0"/>
          <c:showSerName val="0"/>
          <c:showPercent val="0"/>
          <c:showBubbleSize val="0"/>
        </c:dLbls>
        <c:marker val="1"/>
        <c:smooth val="0"/>
        <c:axId val="217127432"/>
        <c:axId val="217127824"/>
      </c:lineChart>
      <c:catAx>
        <c:axId val="217127432"/>
        <c:scaling>
          <c:orientation val="minMax"/>
        </c:scaling>
        <c:delete val="0"/>
        <c:axPos val="b"/>
        <c:title>
          <c:tx>
            <c:rich>
              <a:bodyPr/>
              <a:lstStyle/>
              <a:p>
                <a:pPr>
                  <a:defRPr sz="900" b="1" i="0" u="none" strike="noStrike" baseline="0">
                    <a:solidFill>
                      <a:srgbClr val="000000"/>
                    </a:solidFill>
                    <a:latin typeface="Comic Sans MS"/>
                    <a:ea typeface="Comic Sans MS"/>
                    <a:cs typeface="Comic Sans MS"/>
                  </a:defRPr>
                </a:pPr>
                <a:r>
                  <a:rPr lang="en-US"/>
                  <a:t>Year</a:t>
                </a:r>
              </a:p>
            </c:rich>
          </c:tx>
          <c:layout>
            <c:manualLayout>
              <c:xMode val="edge"/>
              <c:yMode val="edge"/>
              <c:x val="0.51597073855700926"/>
              <c:y val="0.89761109076481715"/>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Comic Sans MS"/>
                <a:ea typeface="Comic Sans MS"/>
                <a:cs typeface="Comic Sans MS"/>
              </a:defRPr>
            </a:pPr>
            <a:endParaRPr lang="en-US"/>
          </a:p>
        </c:txPr>
        <c:crossAx val="217127824"/>
        <c:crosses val="autoZero"/>
        <c:auto val="1"/>
        <c:lblAlgn val="ctr"/>
        <c:lblOffset val="100"/>
        <c:tickLblSkip val="1"/>
        <c:tickMarkSkip val="1"/>
        <c:noMultiLvlLbl val="0"/>
      </c:catAx>
      <c:valAx>
        <c:axId val="217127824"/>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US" sz="900" b="1" i="0" u="none" strike="noStrike" baseline="0">
                    <a:solidFill>
                      <a:srgbClr val="000000"/>
                    </a:solidFill>
                    <a:latin typeface="Comic Sans MS"/>
                  </a:rPr>
                  <a:t>Emissions (MMTCO</a:t>
                </a:r>
                <a:r>
                  <a:rPr lang="en-US" sz="900" b="1" i="0" u="none" strike="noStrike" baseline="-25000">
                    <a:solidFill>
                      <a:srgbClr val="000000"/>
                    </a:solidFill>
                    <a:latin typeface="Comic Sans MS"/>
                  </a:rPr>
                  <a:t>2</a:t>
                </a:r>
                <a:r>
                  <a:rPr lang="en-US" sz="900" b="1" i="0" u="none" strike="noStrike" baseline="0">
                    <a:solidFill>
                      <a:srgbClr val="000000"/>
                    </a:solidFill>
                    <a:latin typeface="Comic Sans MS"/>
                  </a:rPr>
                  <a:t>E)</a:t>
                </a:r>
              </a:p>
            </c:rich>
          </c:tx>
          <c:layout>
            <c:manualLayout>
              <c:xMode val="edge"/>
              <c:yMode val="edge"/>
              <c:x val="6.1425627165731808E-3"/>
              <c:y val="0.3071671091985595"/>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omic Sans MS"/>
                <a:ea typeface="Comic Sans MS"/>
                <a:cs typeface="Comic Sans MS"/>
              </a:defRPr>
            </a:pPr>
            <a:endParaRPr lang="en-US"/>
          </a:p>
        </c:txPr>
        <c:crossAx val="217127432"/>
        <c:crosses val="autoZero"/>
        <c:crossBetween val="between"/>
      </c:valAx>
      <c:spPr>
        <a:noFill/>
        <a:ln w="25400">
          <a:noFill/>
        </a:ln>
      </c:spPr>
    </c:plotArea>
    <c:legend>
      <c:legendPos val="r"/>
      <c:layout>
        <c:manualLayout>
          <c:xMode val="edge"/>
          <c:yMode val="edge"/>
          <c:x val="0.12661195779601406"/>
          <c:y val="0.1293941828699984"/>
          <c:w val="0.78585384915982803"/>
          <c:h val="0.12663417072865893"/>
        </c:manualLayout>
      </c:layout>
      <c:overlay val="0"/>
      <c:spPr>
        <a:solidFill>
          <a:srgbClr val="FFFFFF"/>
        </a:solidFill>
        <a:ln w="25400">
          <a:noFill/>
        </a:ln>
      </c:spPr>
      <c:txPr>
        <a:bodyPr/>
        <a:lstStyle/>
        <a:p>
          <a:pPr>
            <a:defRPr sz="71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'Forest Management'!$L$59</c:f>
          <c:strCache>
            <c:ptCount val="1"/>
            <c:pt idx="0">
              <c:v>Carbon Emissions and Sequestration from Land-Use Change and Forestry, 1990-2020</c:v>
            </c:pt>
          </c:strCache>
        </c:strRef>
      </c:tx>
      <c:layout>
        <c:manualLayout>
          <c:xMode val="edge"/>
          <c:yMode val="edge"/>
          <c:x val="0.13474324532962792"/>
          <c:y val="9.8450262323137167E-3"/>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5122007861332805E-2"/>
          <c:y val="0.30054469865251476"/>
          <c:w val="0.88177464875714073"/>
          <c:h val="0.52182476641572384"/>
        </c:manualLayout>
      </c:layout>
      <c:lineChart>
        <c:grouping val="standard"/>
        <c:varyColors val="0"/>
        <c:ser>
          <c:idx val="0"/>
          <c:order val="0"/>
          <c:tx>
            <c:strRef>
              <c:f>'Forest Management'!$B$10</c:f>
              <c:strCache>
                <c:ptCount val="1"/>
                <c:pt idx="0">
                  <c:v>Forest Carbon Flux</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[0]!ChartRange_Forest_Carbon_Flux</c:f>
              <c:numCache>
                <c:formatCode>_(* #,##0.00_);_(* \(#,##0.00\);_(* "-"??_);_(@_)</c:formatCode>
                <c:ptCount val="31"/>
                <c:pt idx="0">
                  <c:v>-7.2359629627281592</c:v>
                </c:pt>
                <c:pt idx="1">
                  <c:v>-7.2059629627281598</c:v>
                </c:pt>
                <c:pt idx="2">
                  <c:v>-7.1859629627281603</c:v>
                </c:pt>
                <c:pt idx="3">
                  <c:v>-7.4372633921626665</c:v>
                </c:pt>
                <c:pt idx="4">
                  <c:v>-7.4672633921626677</c:v>
                </c:pt>
                <c:pt idx="5">
                  <c:v>-7.4672633921626659</c:v>
                </c:pt>
                <c:pt idx="6">
                  <c:v>-7.4572633921626679</c:v>
                </c:pt>
                <c:pt idx="7">
                  <c:v>-7.4472633921626663</c:v>
                </c:pt>
                <c:pt idx="8">
                  <c:v>-7.4672633921626659</c:v>
                </c:pt>
                <c:pt idx="9">
                  <c:v>-7.4372633921626665</c:v>
                </c:pt>
                <c:pt idx="10">
                  <c:v>-7.3872633921626658</c:v>
                </c:pt>
                <c:pt idx="11">
                  <c:v>-7.3572633921626664</c:v>
                </c:pt>
                <c:pt idx="12">
                  <c:v>-7.3172633921626655</c:v>
                </c:pt>
                <c:pt idx="13">
                  <c:v>-7.297263392162666</c:v>
                </c:pt>
                <c:pt idx="14">
                  <c:v>-7.307263392162664</c:v>
                </c:pt>
                <c:pt idx="15">
                  <c:v>-7.2772633921626664</c:v>
                </c:pt>
                <c:pt idx="16">
                  <c:v>-7.2772633921626664</c:v>
                </c:pt>
                <c:pt idx="17">
                  <c:v>-7.2672633921626648</c:v>
                </c:pt>
                <c:pt idx="18">
                  <c:v>-7.2472633921626652</c:v>
                </c:pt>
                <c:pt idx="19">
                  <c:v>-7.2472633921626661</c:v>
                </c:pt>
                <c:pt idx="20">
                  <c:v>-7.3272633921626662</c:v>
                </c:pt>
                <c:pt idx="21">
                  <c:v>-7.3572633921626656</c:v>
                </c:pt>
                <c:pt idx="22">
                  <c:v>-7.4072633921626663</c:v>
                </c:pt>
                <c:pt idx="23">
                  <c:v>-7.4672633921626668</c:v>
                </c:pt>
                <c:pt idx="24">
                  <c:v>-7.4672633921626641</c:v>
                </c:pt>
                <c:pt idx="25">
                  <c:v>-7.5272633921626655</c:v>
                </c:pt>
                <c:pt idx="26">
                  <c:v>-7.4672633921626668</c:v>
                </c:pt>
                <c:pt idx="27">
                  <c:v>-7.3872633921626649</c:v>
                </c:pt>
                <c:pt idx="28">
                  <c:v>-7.3172633921626664</c:v>
                </c:pt>
                <c:pt idx="29">
                  <c:v>-7.2272633921626666</c:v>
                </c:pt>
                <c:pt idx="30">
                  <c:v>-7.1372633921626667</c:v>
                </c:pt>
              </c:numCache>
            </c:numRef>
          </c:val>
          <c:smooth val="0"/>
          <c:extLst>
            <c:ext xmlns:c16="http://schemas.microsoft.com/office/drawing/2014/chart" uri="{C3380CC4-5D6E-409C-BE32-E72D297353CC}">
              <c16:uniqueId val="{00000000-0B4D-42BE-AC78-4BE7618B72F8}"/>
            </c:ext>
          </c:extLst>
        </c:ser>
        <c:ser>
          <c:idx val="4"/>
          <c:order val="1"/>
          <c:tx>
            <c:strRef>
              <c:f>'Forest Management'!$B$41</c:f>
              <c:strCache>
                <c:ptCount val="1"/>
                <c:pt idx="0">
                  <c:v>Landfilled Yard Trimmings and Food Scraps</c:v>
                </c:pt>
              </c:strCache>
            </c:strRef>
          </c:tx>
          <c:spPr>
            <a:ln w="12700">
              <a:solidFill>
                <a:srgbClr val="800080"/>
              </a:solidFill>
              <a:prstDash val="solid"/>
            </a:ln>
          </c:spPr>
          <c:marker>
            <c:symbol val="star"/>
            <c:size val="5"/>
            <c:spPr>
              <a:noFill/>
              <a:ln>
                <a:solidFill>
                  <a:srgbClr val="800080"/>
                </a:solidFill>
                <a:prstDash val="solid"/>
              </a:ln>
            </c:spPr>
          </c:marke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[0]!ChartRange_Forest_Landfilled_Yard_Trimmings_and_Food_Scraps</c:f>
              <c:numCache>
                <c:formatCode>_(* #,##0.00_);_(* \(#,##0.00\);_(* "-"??_);_(@_)</c:formatCode>
                <c:ptCount val="31"/>
                <c:pt idx="0">
                  <c:v>-1.0549234161426002</c:v>
                </c:pt>
                <c:pt idx="1">
                  <c:v>-0.99536574439989556</c:v>
                </c:pt>
                <c:pt idx="2">
                  <c:v>-0.98123309807417203</c:v>
                </c:pt>
                <c:pt idx="3">
                  <c:v>-0.8532325419233916</c:v>
                </c:pt>
                <c:pt idx="4">
                  <c:v>-0.74694654865993892</c:v>
                </c:pt>
                <c:pt idx="5">
                  <c:v>-0.60986139994347721</c:v>
                </c:pt>
                <c:pt idx="6">
                  <c:v>-0.49479422245524579</c:v>
                </c:pt>
                <c:pt idx="7">
                  <c:v>-0.5237681888252379</c:v>
                </c:pt>
                <c:pt idx="8">
                  <c:v>-0.51576145939384677</c:v>
                </c:pt>
                <c:pt idx="9">
                  <c:v>-0.47537236373175629</c:v>
                </c:pt>
                <c:pt idx="10">
                  <c:v>-0.48038160191898732</c:v>
                </c:pt>
                <c:pt idx="11">
                  <c:v>-0.48844094981112063</c:v>
                </c:pt>
                <c:pt idx="12">
                  <c:v>-0.49279383534442678</c:v>
                </c:pt>
                <c:pt idx="13">
                  <c:v>-0.4175111572515951</c:v>
                </c:pt>
                <c:pt idx="14">
                  <c:v>-0.40484132006101237</c:v>
                </c:pt>
                <c:pt idx="15">
                  <c:v>-0.40517064134734737</c:v>
                </c:pt>
                <c:pt idx="16">
                  <c:v>-0.40096027153036728</c:v>
                </c:pt>
                <c:pt idx="17">
                  <c:v>-0.38039432968247305</c:v>
                </c:pt>
                <c:pt idx="18">
                  <c:v>-0.37176595502764187</c:v>
                </c:pt>
                <c:pt idx="19">
                  <c:v>-0.42285436892927064</c:v>
                </c:pt>
                <c:pt idx="20">
                  <c:v>-0.44751145667325054</c:v>
                </c:pt>
                <c:pt idx="21">
                  <c:v>-0.43979457370356989</c:v>
                </c:pt>
                <c:pt idx="22">
                  <c:v>-0.43334901948105786</c:v>
                </c:pt>
                <c:pt idx="23">
                  <c:v>-0.41133788510655217</c:v>
                </c:pt>
                <c:pt idx="24">
                  <c:v>-0.40672351653932742</c:v>
                </c:pt>
                <c:pt idx="25">
                  <c:v>-0.40494199801979636</c:v>
                </c:pt>
                <c:pt idx="26">
                  <c:v>-0.36650860939723301</c:v>
                </c:pt>
                <c:pt idx="27">
                  <c:v>-0.33264475157998452</c:v>
                </c:pt>
                <c:pt idx="28">
                  <c:v>-0.42372032073543447</c:v>
                </c:pt>
                <c:pt idx="29">
                  <c:v>-0.41985067335790804</c:v>
                </c:pt>
                <c:pt idx="30">
                  <c:v>-0.41814309546031359</c:v>
                </c:pt>
              </c:numCache>
            </c:numRef>
          </c:val>
          <c:smooth val="0"/>
          <c:extLst>
            <c:ext xmlns:c16="http://schemas.microsoft.com/office/drawing/2014/chart" uri="{C3380CC4-5D6E-409C-BE32-E72D297353CC}">
              <c16:uniqueId val="{00000002-0B4D-42BE-AC78-4BE7618B72F8}"/>
            </c:ext>
          </c:extLst>
        </c:ser>
        <c:ser>
          <c:idx val="1"/>
          <c:order val="2"/>
          <c:tx>
            <c:strRef>
              <c:f>'Forest Management'!$B$46</c:f>
              <c:strCache>
                <c:ptCount val="1"/>
                <c:pt idx="0">
                  <c:v>Forest Fires</c:v>
                </c:pt>
              </c:strCache>
            </c:strRef>
          </c:tx>
          <c:spPr>
            <a:ln w="12700">
              <a:solidFill>
                <a:srgbClr val="FF9900"/>
              </a:solidFill>
              <a:prstDash val="solid"/>
            </a:ln>
          </c:spPr>
          <c:marker>
            <c:symbol val="square"/>
            <c:size val="5"/>
            <c:spPr>
              <a:solidFill>
                <a:srgbClr val="FF9900"/>
              </a:solidFill>
              <a:ln>
                <a:solidFill>
                  <a:srgbClr val="FF9900"/>
                </a:solidFill>
                <a:prstDash val="solid"/>
              </a:ln>
            </c:spPr>
          </c:marke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[0]!ChartRange_Forest_Forest_Fires</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3-0B4D-42BE-AC78-4BE7618B72F8}"/>
            </c:ext>
          </c:extLst>
        </c:ser>
        <c:ser>
          <c:idx val="2"/>
          <c:order val="3"/>
          <c:tx>
            <c:strRef>
              <c:f>'Forest Management'!$B$49</c:f>
              <c:strCache>
                <c:ptCount val="1"/>
                <c:pt idx="0">
                  <c:v>N2O from Settlement Soils</c:v>
                </c:pt>
              </c:strCache>
            </c:strRef>
          </c:tx>
          <c:spPr>
            <a:ln w="12700">
              <a:solidFill>
                <a:srgbClr val="993300"/>
              </a:solidFill>
              <a:prstDash val="solid"/>
            </a:ln>
          </c:spPr>
          <c:marker>
            <c:symbol val="triangle"/>
            <c:size val="5"/>
            <c:spPr>
              <a:solidFill>
                <a:srgbClr val="993300"/>
              </a:solidFill>
              <a:ln>
                <a:solidFill>
                  <a:srgbClr val="993300"/>
                </a:solidFill>
                <a:prstDash val="solid"/>
              </a:ln>
            </c:spPr>
          </c:marke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[0]!ChartRange_Forest_N2O_from_Settlement_Soils</c:f>
              <c:numCache>
                <c:formatCode>_(* #,##0.00_);_(* \(#,##0.00\);_(* "-"??_);_(@_)</c:formatCode>
                <c:ptCount val="31"/>
                <c:pt idx="0">
                  <c:v>0.35335184608777831</c:v>
                </c:pt>
                <c:pt idx="1">
                  <c:v>0.37290614589720966</c:v>
                </c:pt>
                <c:pt idx="2">
                  <c:v>0.34808838348910698</c:v>
                </c:pt>
                <c:pt idx="3">
                  <c:v>0.34829916452630211</c:v>
                </c:pt>
                <c:pt idx="4">
                  <c:v>0.36903447281047042</c:v>
                </c:pt>
                <c:pt idx="5">
                  <c:v>0.35608195068595</c:v>
                </c:pt>
                <c:pt idx="6">
                  <c:v>0.38884853252881008</c:v>
                </c:pt>
                <c:pt idx="7">
                  <c:v>0.37233902609608538</c:v>
                </c:pt>
                <c:pt idx="8">
                  <c:v>0.37151775638408541</c:v>
                </c:pt>
                <c:pt idx="9">
                  <c:v>0.36451033995253346</c:v>
                </c:pt>
                <c:pt idx="10">
                  <c:v>0.33803925256865763</c:v>
                </c:pt>
                <c:pt idx="11">
                  <c:v>0.32567213468329409</c:v>
                </c:pt>
                <c:pt idx="12">
                  <c:v>0.3146595763229183</c:v>
                </c:pt>
                <c:pt idx="13">
                  <c:v>0.32627516224960423</c:v>
                </c:pt>
                <c:pt idx="14">
                  <c:v>0.36700406907804106</c:v>
                </c:pt>
                <c:pt idx="15">
                  <c:v>0.35070332257210907</c:v>
                </c:pt>
                <c:pt idx="16">
                  <c:v>0.36938146157767837</c:v>
                </c:pt>
                <c:pt idx="17">
                  <c:v>0.39261911231766711</c:v>
                </c:pt>
                <c:pt idx="18">
                  <c:v>0.38953470895485076</c:v>
                </c:pt>
                <c:pt idx="19">
                  <c:v>0.36651180591733279</c:v>
                </c:pt>
                <c:pt idx="20">
                  <c:v>0.34457336795396287</c:v>
                </c:pt>
                <c:pt idx="21">
                  <c:v>0.41355344034426617</c:v>
                </c:pt>
                <c:pt idx="22">
                  <c:v>0.42134749668773969</c:v>
                </c:pt>
                <c:pt idx="23">
                  <c:v>0.40408286940870697</c:v>
                </c:pt>
                <c:pt idx="24">
                  <c:v>0.42161798548177443</c:v>
                </c:pt>
                <c:pt idx="25">
                  <c:v>0.42161798548177443</c:v>
                </c:pt>
                <c:pt idx="26">
                  <c:v>0.42161798548177443</c:v>
                </c:pt>
                <c:pt idx="27">
                  <c:v>0.42161798548177443</c:v>
                </c:pt>
                <c:pt idx="28">
                  <c:v>0.42161798548177443</c:v>
                </c:pt>
                <c:pt idx="29">
                  <c:v>0.42161798548177443</c:v>
                </c:pt>
                <c:pt idx="30">
                  <c:v>0.42161798548177443</c:v>
                </c:pt>
              </c:numCache>
            </c:numRef>
          </c:val>
          <c:smooth val="0"/>
          <c:extLst>
            <c:ext xmlns:c16="http://schemas.microsoft.com/office/drawing/2014/chart" uri="{C3380CC4-5D6E-409C-BE32-E72D297353CC}">
              <c16:uniqueId val="{00000004-0B4D-42BE-AC78-4BE7618B72F8}"/>
            </c:ext>
          </c:extLst>
        </c:ser>
        <c:ser>
          <c:idx val="5"/>
          <c:order val="4"/>
          <c:tx>
            <c:strRef>
              <c:f>'Forest Management'!$B$40</c:f>
              <c:strCache>
                <c:ptCount val="1"/>
                <c:pt idx="0">
                  <c:v>Urban Trees</c:v>
                </c:pt>
              </c:strCache>
            </c:strRef>
          </c:tx>
          <c:spPr>
            <a:ln w="12700">
              <a:solidFill>
                <a:srgbClr val="003300"/>
              </a:solidFill>
              <a:prstDash val="solid"/>
            </a:ln>
          </c:spPr>
          <c:marker>
            <c:symbol val="circle"/>
            <c:size val="5"/>
            <c:spPr>
              <a:solidFill>
                <a:srgbClr val="003300"/>
              </a:solidFill>
              <a:ln>
                <a:solidFill>
                  <a:srgbClr val="003300"/>
                </a:solidFill>
                <a:prstDash val="solid"/>
              </a:ln>
            </c:spPr>
          </c:marke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[0]!ChartRange_Forest_Urban_Trees</c:f>
              <c:numCache>
                <c:formatCode>_(* #,##0.00_);_(* \(#,##0.00\);_(* "-"??_);_(@_)</c:formatCode>
                <c:ptCount val="31"/>
                <c:pt idx="0">
                  <c:v>-1.5302824800266666</c:v>
                </c:pt>
                <c:pt idx="1">
                  <c:v>-1.5591288703906663</c:v>
                </c:pt>
                <c:pt idx="2">
                  <c:v>-1.5879752607546662</c:v>
                </c:pt>
                <c:pt idx="3">
                  <c:v>-1.6168216511186664</c:v>
                </c:pt>
                <c:pt idx="4">
                  <c:v>-1.6456680414826659</c:v>
                </c:pt>
                <c:pt idx="5">
                  <c:v>-1.674514431846666</c:v>
                </c:pt>
                <c:pt idx="6">
                  <c:v>-1.703360822210666</c:v>
                </c:pt>
                <c:pt idx="7">
                  <c:v>-1.7322072125746659</c:v>
                </c:pt>
                <c:pt idx="8">
                  <c:v>-1.7610536029386661</c:v>
                </c:pt>
                <c:pt idx="9">
                  <c:v>-1.7898999933026658</c:v>
                </c:pt>
                <c:pt idx="10">
                  <c:v>-1.8187463836666666</c:v>
                </c:pt>
                <c:pt idx="11">
                  <c:v>-1.8361820828357838</c:v>
                </c:pt>
                <c:pt idx="12">
                  <c:v>-1.8536177820049013</c:v>
                </c:pt>
                <c:pt idx="13">
                  <c:v>-1.8710534811740189</c:v>
                </c:pt>
                <c:pt idx="14">
                  <c:v>-1.8884891803431361</c:v>
                </c:pt>
                <c:pt idx="15">
                  <c:v>-1.9059248795122541</c:v>
                </c:pt>
                <c:pt idx="16">
                  <c:v>-1.9233605786813712</c:v>
                </c:pt>
                <c:pt idx="17">
                  <c:v>-1.9407962778504888</c:v>
                </c:pt>
                <c:pt idx="18">
                  <c:v>-1.9582319770196066</c:v>
                </c:pt>
                <c:pt idx="19">
                  <c:v>-1.9756676761887237</c:v>
                </c:pt>
                <c:pt idx="20">
                  <c:v>-1.9931033753578413</c:v>
                </c:pt>
                <c:pt idx="21">
                  <c:v>-2.0105390745269598</c:v>
                </c:pt>
                <c:pt idx="22">
                  <c:v>-2.0279747736960796</c:v>
                </c:pt>
                <c:pt idx="23">
                  <c:v>-2.0454104728651936</c:v>
                </c:pt>
                <c:pt idx="24">
                  <c:v>-2.062846172034313</c:v>
                </c:pt>
                <c:pt idx="25">
                  <c:v>-2.0802818712034266</c:v>
                </c:pt>
                <c:pt idx="26">
                  <c:v>-2.0977175703725468</c:v>
                </c:pt>
                <c:pt idx="27">
                  <c:v>-2.1151532695416657</c:v>
                </c:pt>
                <c:pt idx="28">
                  <c:v>-2.1325889687107802</c:v>
                </c:pt>
                <c:pt idx="29">
                  <c:v>-2.1500246678799</c:v>
                </c:pt>
                <c:pt idx="30">
                  <c:v>-2.1674603670490193</c:v>
                </c:pt>
              </c:numCache>
            </c:numRef>
          </c:val>
          <c:smooth val="0"/>
          <c:extLst>
            <c:ext xmlns:c16="http://schemas.microsoft.com/office/drawing/2014/chart" uri="{C3380CC4-5D6E-409C-BE32-E72D297353CC}">
              <c16:uniqueId val="{00000005-0B4D-42BE-AC78-4BE7618B72F8}"/>
            </c:ext>
          </c:extLst>
        </c:ser>
        <c:ser>
          <c:idx val="7"/>
          <c:order val="5"/>
          <c:tx>
            <c:v>Agricultural Soil Carbon Flux</c:v>
          </c:tx>
          <c:spPr>
            <a:ln w="12700"/>
          </c:spPr>
          <c:cat>
            <c:numRef>
              <c:f>[0]!ChartRange_Forest_Year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[0]!ChartRange_Forest_Agricultural_Soil_Carbon_Flux</c:f>
              <c:numCache>
                <c:formatCode>_(* #,##0.00_);_(* \(#,##0.00\);_(* "-"??_);_(@_)</c:formatCode>
                <c:ptCount val="31"/>
                <c:pt idx="0">
                  <c:v>-4.2313000270285155</c:v>
                </c:pt>
                <c:pt idx="1">
                  <c:v>-5.7560706654113103</c:v>
                </c:pt>
                <c:pt idx="2">
                  <c:v>-3.5914565453039757</c:v>
                </c:pt>
                <c:pt idx="3">
                  <c:v>-0.44398356051665433</c:v>
                </c:pt>
                <c:pt idx="4">
                  <c:v>-4.6176003544006514</c:v>
                </c:pt>
                <c:pt idx="5">
                  <c:v>-1.793892233520423</c:v>
                </c:pt>
                <c:pt idx="6">
                  <c:v>-4.8551939786888534</c:v>
                </c:pt>
                <c:pt idx="7">
                  <c:v>-3.5206480415361043</c:v>
                </c:pt>
                <c:pt idx="8">
                  <c:v>-1.6044523232278169</c:v>
                </c:pt>
                <c:pt idx="9">
                  <c:v>-4.2894239497104936</c:v>
                </c:pt>
                <c:pt idx="10">
                  <c:v>-5.1936625147272091</c:v>
                </c:pt>
                <c:pt idx="11">
                  <c:v>-7.7669192747142093</c:v>
                </c:pt>
                <c:pt idx="12">
                  <c:v>-7.3657165984778814</c:v>
                </c:pt>
                <c:pt idx="13">
                  <c:v>-5.6861289127594707</c:v>
                </c:pt>
                <c:pt idx="14">
                  <c:v>-6.847519075414314</c:v>
                </c:pt>
                <c:pt idx="15">
                  <c:v>-8.86437300358679</c:v>
                </c:pt>
                <c:pt idx="16">
                  <c:v>-4.5522242864958695</c:v>
                </c:pt>
                <c:pt idx="17">
                  <c:v>-7.488789427401815</c:v>
                </c:pt>
                <c:pt idx="18">
                  <c:v>-5.5159840667785023</c:v>
                </c:pt>
                <c:pt idx="19">
                  <c:v>-4.7037643652408025</c:v>
                </c:pt>
                <c:pt idx="20">
                  <c:v>-4.7652046509287311</c:v>
                </c:pt>
                <c:pt idx="21">
                  <c:v>-9.254831260186231</c:v>
                </c:pt>
                <c:pt idx="22">
                  <c:v>-7.3806145695040914</c:v>
                </c:pt>
                <c:pt idx="23">
                  <c:v>-2.3377710431397354</c:v>
                </c:pt>
                <c:pt idx="24">
                  <c:v>-5.2530612543306887</c:v>
                </c:pt>
                <c:pt idx="25">
                  <c:v>-6.0816246785504164</c:v>
                </c:pt>
                <c:pt idx="26">
                  <c:v>-5.9127698661019892</c:v>
                </c:pt>
                <c:pt idx="27">
                  <c:v>-5.9684077846127259</c:v>
                </c:pt>
                <c:pt idx="28">
                  <c:v>-5.1643715159107817</c:v>
                </c:pt>
                <c:pt idx="29">
                  <c:v>-4.8889583904479981</c:v>
                </c:pt>
                <c:pt idx="30">
                  <c:v>-6.2078993103152653</c:v>
                </c:pt>
              </c:numCache>
            </c:numRef>
          </c:val>
          <c:smooth val="0"/>
          <c:extLst>
            <c:ext xmlns:c16="http://schemas.microsoft.com/office/drawing/2014/chart" uri="{C3380CC4-5D6E-409C-BE32-E72D297353CC}">
              <c16:uniqueId val="{00000007-0B4D-42BE-AC78-4BE7618B72F8}"/>
            </c:ext>
          </c:extLst>
        </c:ser>
        <c:ser>
          <c:idx val="3"/>
          <c:order val="6"/>
          <c:tx>
            <c:strRef>
              <c:f>'Forest Management'!$B$51</c:f>
              <c:strCache>
                <c:ptCount val="1"/>
                <c:pt idx="0">
                  <c:v>Additional Carbon Dioxide Emissions</c:v>
                </c:pt>
              </c:strCache>
            </c:strRef>
          </c:tx>
          <c:spPr>
            <a:ln w="12700"/>
          </c:spPr>
          <c:marker>
            <c:spPr>
              <a:ln w="12700"/>
            </c:spPr>
          </c:marker>
          <c:val>
            <c:numRef>
              <c:f>'Forest Management'!$C$51:$AF$51</c:f>
              <c:numCache>
                <c:formatCode>General</c:formatCode>
                <c:ptCount val="30"/>
              </c:numCache>
            </c:numRef>
          </c:val>
          <c:smooth val="0"/>
          <c:extLst>
            <c:ext xmlns:c16="http://schemas.microsoft.com/office/drawing/2014/chart" uri="{C3380CC4-5D6E-409C-BE32-E72D297353CC}">
              <c16:uniqueId val="{00000001-CEA1-4506-8C3C-9A6E9F6D2C84}"/>
            </c:ext>
          </c:extLst>
        </c:ser>
        <c:ser>
          <c:idx val="6"/>
          <c:order val="7"/>
          <c:tx>
            <c:strRef>
              <c:f>'Forest Management'!$B$52</c:f>
              <c:strCache>
                <c:ptCount val="1"/>
                <c:pt idx="0">
                  <c:v>Additional Methane Emissions</c:v>
                </c:pt>
              </c:strCache>
            </c:strRef>
          </c:tx>
          <c:spPr>
            <a:ln w="12700"/>
          </c:spPr>
          <c:marker>
            <c:spPr>
              <a:ln w="12700"/>
            </c:spPr>
          </c:marker>
          <c:val>
            <c:numRef>
              <c:f>'Forest Management'!$C$52:$AF$52</c:f>
              <c:numCache>
                <c:formatCode>General</c:formatCode>
                <c:ptCount val="30"/>
              </c:numCache>
            </c:numRef>
          </c:val>
          <c:smooth val="0"/>
          <c:extLst>
            <c:ext xmlns:c16="http://schemas.microsoft.com/office/drawing/2014/chart" uri="{C3380CC4-5D6E-409C-BE32-E72D297353CC}">
              <c16:uniqueId val="{00000001-1968-432B-8E46-3117201E230B}"/>
            </c:ext>
          </c:extLst>
        </c:ser>
        <c:ser>
          <c:idx val="8"/>
          <c:order val="8"/>
          <c:tx>
            <c:strRef>
              <c:f>'Forest Management'!$B$53</c:f>
              <c:strCache>
                <c:ptCount val="1"/>
                <c:pt idx="0">
                  <c:v>Additional Nitrous Oxide Emissions</c:v>
                </c:pt>
              </c:strCache>
            </c:strRef>
          </c:tx>
          <c:spPr>
            <a:ln w="12700"/>
          </c:spPr>
          <c:marker>
            <c:spPr>
              <a:ln w="12700"/>
            </c:spPr>
          </c:marker>
          <c:val>
            <c:numRef>
              <c:f>'Forest Management'!$C$53:$AF$53</c:f>
              <c:numCache>
                <c:formatCode>General</c:formatCode>
                <c:ptCount val="30"/>
              </c:numCache>
            </c:numRef>
          </c:val>
          <c:smooth val="0"/>
          <c:extLst>
            <c:ext xmlns:c16="http://schemas.microsoft.com/office/drawing/2014/chart" uri="{C3380CC4-5D6E-409C-BE32-E72D297353CC}">
              <c16:uniqueId val="{00000002-1968-432B-8E46-3117201E230B}"/>
            </c:ext>
          </c:extLst>
        </c:ser>
        <c:dLbls>
          <c:showLegendKey val="0"/>
          <c:showVal val="0"/>
          <c:showCatName val="0"/>
          <c:showSerName val="0"/>
          <c:showPercent val="0"/>
          <c:showBubbleSize val="0"/>
        </c:dLbls>
        <c:marker val="1"/>
        <c:smooth val="0"/>
        <c:axId val="221219736"/>
        <c:axId val="221220128"/>
      </c:lineChart>
      <c:catAx>
        <c:axId val="22121973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220128"/>
        <c:crosses val="autoZero"/>
        <c:auto val="1"/>
        <c:lblAlgn val="ctr"/>
        <c:lblOffset val="100"/>
        <c:tickLblSkip val="1"/>
        <c:tickMarkSkip val="1"/>
        <c:noMultiLvlLbl val="0"/>
      </c:catAx>
      <c:valAx>
        <c:axId val="221220128"/>
        <c:scaling>
          <c:orientation val="minMax"/>
        </c:scaling>
        <c:delete val="0"/>
        <c:axPos val="l"/>
        <c:majorGridlines>
          <c:spPr>
            <a:ln w="3175">
              <a:solidFill>
                <a:srgbClr val="969696"/>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1.4634173829416362E-2"/>
              <c:y val="0.41447433284037466"/>
            </c:manualLayout>
          </c:layout>
          <c:overlay val="0"/>
          <c:spPr>
            <a:noFill/>
            <a:ln w="25400">
              <a:noFill/>
            </a:ln>
          </c:spPr>
        </c:title>
        <c:numFmt formatCode="_(* #,##0.0_);_(* \(#,##0.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219736"/>
        <c:crosses val="autoZero"/>
        <c:crossBetween val="between"/>
      </c:valAx>
      <c:spPr>
        <a:solidFill>
          <a:srgbClr val="FFFFFF"/>
        </a:solidFill>
        <a:ln w="12700">
          <a:solidFill>
            <a:srgbClr val="808080"/>
          </a:solidFill>
          <a:prstDash val="solid"/>
        </a:ln>
      </c:spPr>
    </c:plotArea>
    <c:legend>
      <c:legendPos val="t"/>
      <c:layout>
        <c:manualLayout>
          <c:xMode val="edge"/>
          <c:yMode val="edge"/>
          <c:x val="0.12331906746950748"/>
          <c:y val="9.9780633897162421E-2"/>
          <c:w val="0.75649911996294583"/>
          <c:h val="0.19515907931925633"/>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'Forest Management'!$L$60</c:f>
          <c:strCache>
            <c:ptCount val="1"/>
            <c:pt idx="0">
              <c:v>Carbon Emissions and Sequestration from Forest Carbon Flux, 1990-2020</c:v>
            </c:pt>
          </c:strCache>
        </c:strRef>
      </c:tx>
      <c:layout>
        <c:manualLayout>
          <c:xMode val="edge"/>
          <c:yMode val="edge"/>
          <c:x val="0.12144677037321554"/>
          <c:y val="6.2698278099852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8780546625230226E-2"/>
          <c:y val="0.25711536714855887"/>
          <c:w val="0.83503851784140304"/>
          <c:h val="0.59098549212097395"/>
        </c:manualLayout>
      </c:layout>
      <c:lineChart>
        <c:grouping val="standard"/>
        <c:varyColors val="0"/>
        <c:ser>
          <c:idx val="9"/>
          <c:order val="1"/>
          <c:tx>
            <c:strRef>
              <c:f>'Forest Management'!$B$11</c:f>
              <c:strCache>
                <c:ptCount val="1"/>
                <c:pt idx="0">
                  <c:v>Aboveground Biomass</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Management'!$C$11:$AE$11</c:f>
            </c:numRef>
          </c:val>
          <c:smooth val="0"/>
          <c:extLst>
            <c:ext xmlns:c16="http://schemas.microsoft.com/office/drawing/2014/chart" uri="{C3380CC4-5D6E-409C-BE32-E72D297353CC}">
              <c16:uniqueId val="{0000000A-8963-4D30-A1BD-2083FB238280}"/>
            </c:ext>
          </c:extLst>
        </c:ser>
        <c:ser>
          <c:idx val="15"/>
          <c:order val="2"/>
          <c:tx>
            <c:strRef>
              <c:f>'Forest Management'!$B$12</c:f>
              <c:strCache>
                <c:ptCount val="1"/>
                <c:pt idx="0">
                  <c:v>Belowground Biomass</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Management'!$C$12:$AE$12</c:f>
            </c:numRef>
          </c:val>
          <c:smooth val="0"/>
          <c:extLst>
            <c:ext xmlns:c16="http://schemas.microsoft.com/office/drawing/2014/chart" uri="{C3380CC4-5D6E-409C-BE32-E72D297353CC}">
              <c16:uniqueId val="{00000010-8963-4D30-A1BD-2083FB238280}"/>
            </c:ext>
          </c:extLst>
        </c:ser>
        <c:ser>
          <c:idx val="0"/>
          <c:order val="3"/>
          <c:tx>
            <c:strRef>
              <c:f>'Forest Management'!$B$13</c:f>
              <c:strCache>
                <c:ptCount val="1"/>
                <c:pt idx="0">
                  <c:v>Dead Wood</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Management'!$C$13:$AE$13</c:f>
            </c:numRef>
          </c:val>
          <c:smooth val="0"/>
          <c:extLst>
            <c:ext xmlns:c16="http://schemas.microsoft.com/office/drawing/2014/chart" uri="{C3380CC4-5D6E-409C-BE32-E72D297353CC}">
              <c16:uniqueId val="{00000002-9C9C-4B8A-B58A-24A2AF99FDFB}"/>
            </c:ext>
          </c:extLst>
        </c:ser>
        <c:ser>
          <c:idx val="1"/>
          <c:order val="4"/>
          <c:tx>
            <c:strRef>
              <c:f>'Forest Management'!$B$14</c:f>
              <c:strCache>
                <c:ptCount val="1"/>
                <c:pt idx="0">
                  <c:v>Litter</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Management'!$C$14:$AE$14</c:f>
            </c:numRef>
          </c:val>
          <c:smooth val="0"/>
          <c:extLst>
            <c:ext xmlns:c16="http://schemas.microsoft.com/office/drawing/2014/chart" uri="{C3380CC4-5D6E-409C-BE32-E72D297353CC}">
              <c16:uniqueId val="{00000003-9C9C-4B8A-B58A-24A2AF99FDFB}"/>
            </c:ext>
          </c:extLst>
        </c:ser>
        <c:ser>
          <c:idx val="2"/>
          <c:order val="5"/>
          <c:tx>
            <c:strRef>
              <c:f>'Forest Management'!$B$15</c:f>
              <c:strCache>
                <c:ptCount val="1"/>
                <c:pt idx="0">
                  <c:v>Soil (Mineral)</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Management'!$C$15:$AE$15</c:f>
            </c:numRef>
          </c:val>
          <c:smooth val="0"/>
          <c:extLst>
            <c:ext xmlns:c16="http://schemas.microsoft.com/office/drawing/2014/chart" uri="{C3380CC4-5D6E-409C-BE32-E72D297353CC}">
              <c16:uniqueId val="{00000004-9C9C-4B8A-B58A-24A2AF99FDFB}"/>
            </c:ext>
          </c:extLst>
        </c:ser>
        <c:ser>
          <c:idx val="3"/>
          <c:order val="6"/>
          <c:tx>
            <c:strRef>
              <c:f>'Forest Management'!$B$16</c:f>
              <c:strCache>
                <c:ptCount val="1"/>
                <c:pt idx="0">
                  <c:v>Soil (Organic)</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Management'!$C$16:$AE$16</c:f>
            </c:numRef>
          </c:val>
          <c:smooth val="0"/>
          <c:extLst>
            <c:ext xmlns:c16="http://schemas.microsoft.com/office/drawing/2014/chart" uri="{C3380CC4-5D6E-409C-BE32-E72D297353CC}">
              <c16:uniqueId val="{00000005-9C9C-4B8A-B58A-24A2AF99FDFB}"/>
            </c:ext>
          </c:extLst>
        </c:ser>
        <c:ser>
          <c:idx val="4"/>
          <c:order val="7"/>
          <c:tx>
            <c:strRef>
              <c:f>'Forest Management'!$B$17</c:f>
              <c:strCache>
                <c:ptCount val="1"/>
                <c:pt idx="0">
                  <c:v>Drained Organic Soil</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Management'!$C$17:$AE$17</c:f>
            </c:numRef>
          </c:val>
          <c:smooth val="0"/>
          <c:extLst>
            <c:ext xmlns:c16="http://schemas.microsoft.com/office/drawing/2014/chart" uri="{C3380CC4-5D6E-409C-BE32-E72D297353CC}">
              <c16:uniqueId val="{00000006-9C9C-4B8A-B58A-24A2AF99FDFB}"/>
            </c:ext>
          </c:extLst>
        </c:ser>
        <c:ser>
          <c:idx val="6"/>
          <c:order val="8"/>
          <c:tx>
            <c:strRef>
              <c:f>'Forest Management'!$B$18</c:f>
              <c:strCache>
                <c:ptCount val="1"/>
                <c:pt idx="0">
                  <c:v>Total Wood products and landfills</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Management'!$C$18:$AE$18</c:f>
            </c:numRef>
          </c:val>
          <c:smooth val="0"/>
          <c:extLst>
            <c:ext xmlns:c16="http://schemas.microsoft.com/office/drawing/2014/chart" uri="{C3380CC4-5D6E-409C-BE32-E72D297353CC}">
              <c16:uniqueId val="{00000007-9C9C-4B8A-B58A-24A2AF99FDFB}"/>
            </c:ext>
          </c:extLst>
        </c:ser>
        <c:ser>
          <c:idx val="7"/>
          <c:order val="9"/>
          <c:tx>
            <c:strRef>
              <c:f>'Forest Management'!$B$19</c:f>
              <c:strCache>
                <c:ptCount val="1"/>
                <c:pt idx="0">
                  <c:v>Forest Land Remaining Forest Land</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Management'!$C$19:$AG$19</c:f>
              <c:numCache>
                <c:formatCode>_(* #,##0.00_);_(* \(#,##0.00\);_(* "-"??_);_(@_)</c:formatCode>
                <c:ptCount val="31"/>
                <c:pt idx="0">
                  <c:v>-5.9559629627281581</c:v>
                </c:pt>
                <c:pt idx="1">
                  <c:v>-5.9259629627281587</c:v>
                </c:pt>
                <c:pt idx="2">
                  <c:v>-5.9059629627281591</c:v>
                </c:pt>
                <c:pt idx="3">
                  <c:v>-6.1572633921626663</c:v>
                </c:pt>
                <c:pt idx="4">
                  <c:v>-6.1472633921626665</c:v>
                </c:pt>
                <c:pt idx="5">
                  <c:v>-6.1372633921626658</c:v>
                </c:pt>
                <c:pt idx="6">
                  <c:v>-6.1272633921626669</c:v>
                </c:pt>
                <c:pt idx="7">
                  <c:v>-6.127263392162666</c:v>
                </c:pt>
                <c:pt idx="8">
                  <c:v>-6.127263392162666</c:v>
                </c:pt>
                <c:pt idx="9">
                  <c:v>-6.087263392162666</c:v>
                </c:pt>
                <c:pt idx="10">
                  <c:v>-6.0372633921626662</c:v>
                </c:pt>
                <c:pt idx="11">
                  <c:v>-5.9972633921626661</c:v>
                </c:pt>
                <c:pt idx="12">
                  <c:v>-5.9472633921626654</c:v>
                </c:pt>
                <c:pt idx="13">
                  <c:v>-5.9072633921626663</c:v>
                </c:pt>
                <c:pt idx="14">
                  <c:v>-5.8972633921626656</c:v>
                </c:pt>
                <c:pt idx="15">
                  <c:v>-5.8672633921626662</c:v>
                </c:pt>
                <c:pt idx="16">
                  <c:v>-5.8572633921626664</c:v>
                </c:pt>
                <c:pt idx="17">
                  <c:v>-5.837263392162666</c:v>
                </c:pt>
                <c:pt idx="18">
                  <c:v>-5.8072633921626657</c:v>
                </c:pt>
                <c:pt idx="19">
                  <c:v>-5.797263392162666</c:v>
                </c:pt>
                <c:pt idx="20">
                  <c:v>-5.8472633921626667</c:v>
                </c:pt>
                <c:pt idx="21">
                  <c:v>-5.877263392162666</c:v>
                </c:pt>
                <c:pt idx="22">
                  <c:v>-5.9172633921626661</c:v>
                </c:pt>
                <c:pt idx="23">
                  <c:v>-5.9672633921626659</c:v>
                </c:pt>
                <c:pt idx="24">
                  <c:v>-6.007263392162665</c:v>
                </c:pt>
                <c:pt idx="25">
                  <c:v>-6.0572633921626657</c:v>
                </c:pt>
                <c:pt idx="26">
                  <c:v>-5.9772633921626657</c:v>
                </c:pt>
                <c:pt idx="27">
                  <c:v>-5.8972633921626656</c:v>
                </c:pt>
                <c:pt idx="28">
                  <c:v>-5.8272633921626662</c:v>
                </c:pt>
                <c:pt idx="29">
                  <c:v>-5.7372633921626663</c:v>
                </c:pt>
                <c:pt idx="30">
                  <c:v>-5.6472633921626665</c:v>
                </c:pt>
              </c:numCache>
            </c:numRef>
          </c:val>
          <c:smooth val="0"/>
          <c:extLst>
            <c:ext xmlns:c16="http://schemas.microsoft.com/office/drawing/2014/chart" uri="{C3380CC4-5D6E-409C-BE32-E72D297353CC}">
              <c16:uniqueId val="{00000008-9C9C-4B8A-B58A-24A2AF99FDFB}"/>
            </c:ext>
          </c:extLst>
        </c:ser>
        <c:ser>
          <c:idx val="18"/>
          <c:order val="10"/>
          <c:tx>
            <c:strRef>
              <c:f>'Forest Management'!$B$28</c:f>
              <c:strCache>
                <c:ptCount val="1"/>
                <c:pt idx="0">
                  <c:v>Land Converted to Forest Land</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Management'!$C$28:$AG$28</c:f>
              <c:numCache>
                <c:formatCode>_(* #,##0.00_);_(* \(#,##0.00\);_(* "-"??_);_(@_)</c:formatCode>
                <c:ptCount val="31"/>
                <c:pt idx="0">
                  <c:v>-2.3000000000000003</c:v>
                </c:pt>
                <c:pt idx="1">
                  <c:v>-2.3000000000000003</c:v>
                </c:pt>
                <c:pt idx="2">
                  <c:v>-2.3000000000000003</c:v>
                </c:pt>
                <c:pt idx="3">
                  <c:v>-2.3000000000000003</c:v>
                </c:pt>
                <c:pt idx="4">
                  <c:v>-2.3400000000000003</c:v>
                </c:pt>
                <c:pt idx="5">
                  <c:v>-2.3400000000000003</c:v>
                </c:pt>
                <c:pt idx="6">
                  <c:v>-2.3400000000000003</c:v>
                </c:pt>
                <c:pt idx="7">
                  <c:v>-2.3400000000000003</c:v>
                </c:pt>
                <c:pt idx="8">
                  <c:v>-2.35</c:v>
                </c:pt>
                <c:pt idx="9">
                  <c:v>-2.35</c:v>
                </c:pt>
                <c:pt idx="10">
                  <c:v>-2.35</c:v>
                </c:pt>
                <c:pt idx="11">
                  <c:v>-2.3600000000000003</c:v>
                </c:pt>
                <c:pt idx="12">
                  <c:v>-2.3600000000000003</c:v>
                </c:pt>
                <c:pt idx="13">
                  <c:v>-2.37</c:v>
                </c:pt>
                <c:pt idx="14">
                  <c:v>-2.3899999999999997</c:v>
                </c:pt>
                <c:pt idx="15">
                  <c:v>-2.4000000000000004</c:v>
                </c:pt>
                <c:pt idx="16">
                  <c:v>-2.4000000000000004</c:v>
                </c:pt>
                <c:pt idx="17">
                  <c:v>-2.41</c:v>
                </c:pt>
                <c:pt idx="18">
                  <c:v>-2.42</c:v>
                </c:pt>
                <c:pt idx="19">
                  <c:v>-2.42</c:v>
                </c:pt>
                <c:pt idx="20">
                  <c:v>-2.4300000000000006</c:v>
                </c:pt>
                <c:pt idx="21">
                  <c:v>-2.4400000000000004</c:v>
                </c:pt>
                <c:pt idx="22">
                  <c:v>-2.4400000000000004</c:v>
                </c:pt>
                <c:pt idx="23">
                  <c:v>-2.4500000000000002</c:v>
                </c:pt>
                <c:pt idx="24">
                  <c:v>-2.4400000000000004</c:v>
                </c:pt>
                <c:pt idx="25">
                  <c:v>-2.4400000000000004</c:v>
                </c:pt>
                <c:pt idx="26">
                  <c:v>-2.46</c:v>
                </c:pt>
                <c:pt idx="27">
                  <c:v>-2.46</c:v>
                </c:pt>
                <c:pt idx="28">
                  <c:v>-2.46</c:v>
                </c:pt>
                <c:pt idx="29">
                  <c:v>-2.46</c:v>
                </c:pt>
                <c:pt idx="30">
                  <c:v>-2.46</c:v>
                </c:pt>
              </c:numCache>
            </c:numRef>
          </c:val>
          <c:smooth val="0"/>
          <c:extLst>
            <c:ext xmlns:c16="http://schemas.microsoft.com/office/drawing/2014/chart" uri="{C3380CC4-5D6E-409C-BE32-E72D297353CC}">
              <c16:uniqueId val="{00000011-9C9C-4B8A-B58A-24A2AF99FDFB}"/>
            </c:ext>
          </c:extLst>
        </c:ser>
        <c:ser>
          <c:idx val="24"/>
          <c:order val="11"/>
          <c:tx>
            <c:strRef>
              <c:f>'Forest Management'!$B$34</c:f>
              <c:strCache>
                <c:ptCount val="1"/>
                <c:pt idx="0">
                  <c:v>Forest Land Converted to Land</c:v>
                </c:pt>
              </c:strCache>
            </c:strRef>
          </c:tx>
          <c:cat>
            <c:numRef>
              <c:f>'Forest Management'!$C$9:$AG$9</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'Forest Management'!$C$34:$AG$34</c:f>
              <c:numCache>
                <c:formatCode>_(* #,##0.00_);_(* \(#,##0.00\);_(* "-"??_);_(@_)</c:formatCode>
                <c:ptCount val="31"/>
                <c:pt idx="0">
                  <c:v>1.02</c:v>
                </c:pt>
                <c:pt idx="1">
                  <c:v>1.02</c:v>
                </c:pt>
                <c:pt idx="2">
                  <c:v>1.02</c:v>
                </c:pt>
                <c:pt idx="3">
                  <c:v>1.02</c:v>
                </c:pt>
                <c:pt idx="4">
                  <c:v>1.02</c:v>
                </c:pt>
                <c:pt idx="5">
                  <c:v>1.01</c:v>
                </c:pt>
                <c:pt idx="6">
                  <c:v>1.01</c:v>
                </c:pt>
                <c:pt idx="7">
                  <c:v>1.02</c:v>
                </c:pt>
                <c:pt idx="8">
                  <c:v>1.01</c:v>
                </c:pt>
                <c:pt idx="9">
                  <c:v>1</c:v>
                </c:pt>
                <c:pt idx="10">
                  <c:v>1</c:v>
                </c:pt>
                <c:pt idx="11">
                  <c:v>1</c:v>
                </c:pt>
                <c:pt idx="12">
                  <c:v>0.99</c:v>
                </c:pt>
                <c:pt idx="13">
                  <c:v>0.98</c:v>
                </c:pt>
                <c:pt idx="14">
                  <c:v>0.98</c:v>
                </c:pt>
                <c:pt idx="15">
                  <c:v>0.99</c:v>
                </c:pt>
                <c:pt idx="16">
                  <c:v>0.98000000000000009</c:v>
                </c:pt>
                <c:pt idx="17">
                  <c:v>0.98000000000000009</c:v>
                </c:pt>
                <c:pt idx="18">
                  <c:v>0.98000000000000009</c:v>
                </c:pt>
                <c:pt idx="19">
                  <c:v>0.97000000000000008</c:v>
                </c:pt>
                <c:pt idx="20">
                  <c:v>0.95000000000000007</c:v>
                </c:pt>
                <c:pt idx="21">
                  <c:v>0.96000000000000008</c:v>
                </c:pt>
                <c:pt idx="22">
                  <c:v>0.95000000000000007</c:v>
                </c:pt>
                <c:pt idx="23">
                  <c:v>0.95000000000000007</c:v>
                </c:pt>
                <c:pt idx="24">
                  <c:v>0.98000000000000009</c:v>
                </c:pt>
                <c:pt idx="25">
                  <c:v>0.97000000000000008</c:v>
                </c:pt>
                <c:pt idx="26">
                  <c:v>0.97</c:v>
                </c:pt>
                <c:pt idx="27">
                  <c:v>0.97</c:v>
                </c:pt>
                <c:pt idx="28">
                  <c:v>0.97</c:v>
                </c:pt>
                <c:pt idx="29">
                  <c:v>0.97</c:v>
                </c:pt>
                <c:pt idx="30">
                  <c:v>0.97</c:v>
                </c:pt>
              </c:numCache>
            </c:numRef>
          </c:val>
          <c:smooth val="0"/>
          <c:extLst>
            <c:ext xmlns:c16="http://schemas.microsoft.com/office/drawing/2014/chart" uri="{C3380CC4-5D6E-409C-BE32-E72D297353CC}">
              <c16:uniqueId val="{00000017-9C9C-4B8A-B58A-24A2AF99FDFB}"/>
            </c:ext>
          </c:extLst>
        </c:ser>
        <c:dLbls>
          <c:showLegendKey val="0"/>
          <c:showVal val="0"/>
          <c:showCatName val="0"/>
          <c:showSerName val="0"/>
          <c:showPercent val="0"/>
          <c:showBubbleSize val="0"/>
        </c:dLbls>
        <c:marker val="1"/>
        <c:smooth val="0"/>
        <c:axId val="221220912"/>
        <c:axId val="221221304"/>
        <c:extLst>
          <c:ext xmlns:c15="http://schemas.microsoft.com/office/drawing/2012/chart" uri="{02D57815-91ED-43cb-92C2-25804820EDAC}">
            <c15:filteredLineSeries>
              <c15:ser>
                <c:idx val="5"/>
                <c:order val="0"/>
                <c:tx>
                  <c:strRef>
                    <c:extLst>
                      <c:ext uri="{02D57815-91ED-43cb-92C2-25804820EDAC}">
                        <c15:formulaRef>
                          <c15:sqref>'Forest Management'!$B$10</c15:sqref>
                        </c15:formulaRef>
                      </c:ext>
                    </c:extLst>
                    <c:strCache>
                      <c:ptCount val="1"/>
                      <c:pt idx="0">
                        <c:v>Forest Carbon Flux</c:v>
                      </c:pt>
                    </c:strCache>
                  </c:strRef>
                </c:tx>
                <c:spPr>
                  <a:ln w="12700">
                    <a:solidFill>
                      <a:srgbClr val="003300"/>
                    </a:solidFill>
                    <a:prstDash val="solid"/>
                  </a:ln>
                </c:spPr>
                <c:marker>
                  <c:symbol val="circle"/>
                  <c:size val="5"/>
                  <c:spPr>
                    <a:solidFill>
                      <a:srgbClr val="003300"/>
                    </a:solidFill>
                    <a:ln>
                      <a:solidFill>
                        <a:srgbClr val="003300"/>
                      </a:solidFill>
                      <a:prstDash val="solid"/>
                    </a:ln>
                  </c:spPr>
                </c:marker>
                <c:cat>
                  <c:numRef>
                    <c:extLst>
                      <c:ext uri="{02D57815-91ED-43cb-92C2-25804820EDAC}">
                        <c15:formulaRef>
                          <c15:sqref>'Forest Management'!$C$9:$AG$9</c15:sqref>
                        </c15:formulaRef>
                      </c:ext>
                    </c:extLst>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extLst>
                      <c:ext uri="{02D57815-91ED-43cb-92C2-25804820EDAC}">
                        <c15:formulaRef>
                          <c15:sqref>'Forest Management'!$C$10:$AE$10</c15:sqref>
                        </c15:formulaRef>
                      </c:ext>
                    </c:extLst>
                    <c:numCache>
                      <c:formatCode>_(* #,##0.00_);_(* \(#,##0.00\);_(* "-"??_);_(@_)</c:formatCode>
                      <c:ptCount val="29"/>
                      <c:pt idx="0">
                        <c:v>-7.2359629627281592</c:v>
                      </c:pt>
                      <c:pt idx="1">
                        <c:v>-7.2059629627281598</c:v>
                      </c:pt>
                      <c:pt idx="2">
                        <c:v>-7.1859629627281603</c:v>
                      </c:pt>
                      <c:pt idx="3">
                        <c:v>-7.4372633921626665</c:v>
                      </c:pt>
                      <c:pt idx="4">
                        <c:v>-7.4672633921626677</c:v>
                      </c:pt>
                      <c:pt idx="5">
                        <c:v>-7.4672633921626659</c:v>
                      </c:pt>
                      <c:pt idx="6">
                        <c:v>-7.4572633921626679</c:v>
                      </c:pt>
                      <c:pt idx="7">
                        <c:v>-7.4472633921626663</c:v>
                      </c:pt>
                      <c:pt idx="8">
                        <c:v>-7.4672633921626659</c:v>
                      </c:pt>
                      <c:pt idx="9">
                        <c:v>-7.4372633921626665</c:v>
                      </c:pt>
                      <c:pt idx="10">
                        <c:v>-7.3872633921626658</c:v>
                      </c:pt>
                      <c:pt idx="11">
                        <c:v>-7.3572633921626664</c:v>
                      </c:pt>
                      <c:pt idx="12">
                        <c:v>-7.3172633921626655</c:v>
                      </c:pt>
                      <c:pt idx="13">
                        <c:v>-7.297263392162666</c:v>
                      </c:pt>
                      <c:pt idx="14">
                        <c:v>-7.307263392162664</c:v>
                      </c:pt>
                      <c:pt idx="15">
                        <c:v>-7.2772633921626664</c:v>
                      </c:pt>
                      <c:pt idx="16">
                        <c:v>-7.2772633921626664</c:v>
                      </c:pt>
                      <c:pt idx="17">
                        <c:v>-7.2672633921626648</c:v>
                      </c:pt>
                      <c:pt idx="18">
                        <c:v>-7.2472633921626652</c:v>
                      </c:pt>
                      <c:pt idx="19">
                        <c:v>-7.2472633921626661</c:v>
                      </c:pt>
                      <c:pt idx="20">
                        <c:v>-7.3272633921626662</c:v>
                      </c:pt>
                      <c:pt idx="21">
                        <c:v>-7.3572633921626656</c:v>
                      </c:pt>
                      <c:pt idx="22">
                        <c:v>-7.4072633921626663</c:v>
                      </c:pt>
                      <c:pt idx="23">
                        <c:v>-7.4672633921626668</c:v>
                      </c:pt>
                      <c:pt idx="24">
                        <c:v>-7.4672633921626641</c:v>
                      </c:pt>
                      <c:pt idx="25">
                        <c:v>-7.5272633921626655</c:v>
                      </c:pt>
                      <c:pt idx="26">
                        <c:v>-7.4672633921626668</c:v>
                      </c:pt>
                      <c:pt idx="27">
                        <c:v>-7.3872633921626649</c:v>
                      </c:pt>
                      <c:pt idx="28">
                        <c:v>-7.3172633921626664</c:v>
                      </c:pt>
                    </c:numCache>
                  </c:numRef>
                </c:val>
                <c:smooth val="0"/>
                <c:extLst>
                  <c:ext xmlns:c16="http://schemas.microsoft.com/office/drawing/2014/chart" uri="{C3380CC4-5D6E-409C-BE32-E72D297353CC}">
                    <c16:uniqueId val="{00000000-8963-4D30-A1BD-2083FB238280}"/>
                  </c:ext>
                </c:extLst>
              </c15:ser>
            </c15:filteredLineSeries>
          </c:ext>
        </c:extLst>
      </c:lineChart>
      <c:catAx>
        <c:axId val="221220912"/>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221304"/>
        <c:crosses val="autoZero"/>
        <c:auto val="1"/>
        <c:lblAlgn val="ctr"/>
        <c:lblOffset val="100"/>
        <c:tickLblSkip val="1"/>
        <c:tickMarkSkip val="1"/>
        <c:noMultiLvlLbl val="0"/>
      </c:catAx>
      <c:valAx>
        <c:axId val="221221304"/>
        <c:scaling>
          <c:orientation val="minMax"/>
        </c:scaling>
        <c:delete val="0"/>
        <c:axPos val="l"/>
        <c:majorGridlines>
          <c:spPr>
            <a:ln w="3175">
              <a:solidFill>
                <a:srgbClr val="969696"/>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1.8292685981046265E-2"/>
              <c:y val="0.44224550056242967"/>
            </c:manualLayout>
          </c:layout>
          <c:overlay val="0"/>
          <c:spPr>
            <a:noFill/>
            <a:ln w="25400">
              <a:noFill/>
            </a:ln>
          </c:spPr>
        </c:title>
        <c:numFmt formatCode="_(* #,##0.0_);_(* \(#,##0.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220912"/>
        <c:crosses val="autoZero"/>
        <c:crossBetween val="between"/>
      </c:valAx>
      <c:spPr>
        <a:solidFill>
          <a:srgbClr val="FFFFFF"/>
        </a:solidFill>
        <a:ln w="12700">
          <a:solidFill>
            <a:srgbClr val="808080"/>
          </a:solidFill>
          <a:prstDash val="solid"/>
        </a:ln>
      </c:spPr>
    </c:plotArea>
    <c:legend>
      <c:legendPos val="t"/>
      <c:layout>
        <c:manualLayout>
          <c:xMode val="edge"/>
          <c:yMode val="edge"/>
          <c:x val="0.14539598949875451"/>
          <c:y val="0.16107478970672393"/>
          <c:w val="0.70920802100249092"/>
          <c:h val="6.717470202193053E-2"/>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Waste!$U$38</c:f>
          <c:strCache>
            <c:ptCount val="1"/>
            <c:pt idx="0">
              <c:v>Methane Emissions from Landfills, 1990-2001</c:v>
            </c:pt>
          </c:strCache>
        </c:strRef>
      </c:tx>
      <c:layout>
        <c:manualLayout>
          <c:xMode val="edge"/>
          <c:yMode val="edge"/>
          <c:x val="0.28959847335596811"/>
          <c:y val="3.9604089667363007E-2"/>
        </c:manualLayout>
      </c:layout>
      <c:overlay val="0"/>
      <c:spPr>
        <a:noFill/>
        <a:ln w="25400">
          <a:noFill/>
        </a:ln>
      </c:spPr>
      <c:txPr>
        <a:bodyPr/>
        <a:lstStyle/>
        <a:p>
          <a:pP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8.9834619065153873E-2"/>
          <c:y val="0.26072691292450795"/>
          <c:w val="0.89361805280600437"/>
          <c:h val="0.51712607116163456"/>
        </c:manualLayout>
      </c:layout>
      <c:lineChart>
        <c:grouping val="standard"/>
        <c:varyColors val="0"/>
        <c:ser>
          <c:idx val="0"/>
          <c:order val="0"/>
          <c:tx>
            <c:v>Total</c:v>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[0]!ChartRange_Waste_Total_CH4_Emissions_from_Landfiils</c:f>
              <c:numCache>
                <c:formatCode>_(* #,##0_);_(* \(#,##0\);_(* "-"??_);_(@_)</c:formatCode>
                <c:ptCount val="12"/>
                <c:pt idx="0">
                  <c:v>10138527.590669336</c:v>
                </c:pt>
                <c:pt idx="1">
                  <c:v>10330091.522033285</c:v>
                </c:pt>
                <c:pt idx="2">
                  <c:v>10681496.500066554</c:v>
                </c:pt>
                <c:pt idx="3">
                  <c:v>10973645.203267269</c:v>
                </c:pt>
                <c:pt idx="4">
                  <c:v>11175414.815590108</c:v>
                </c:pt>
                <c:pt idx="5">
                  <c:v>11478849.835828466</c:v>
                </c:pt>
                <c:pt idx="6">
                  <c:v>11611654.540560536</c:v>
                </c:pt>
                <c:pt idx="7">
                  <c:v>11371495.676686024</c:v>
                </c:pt>
                <c:pt idx="8">
                  <c:v>10268623.966067025</c:v>
                </c:pt>
                <c:pt idx="9">
                  <c:v>9924238.2878398951</c:v>
                </c:pt>
                <c:pt idx="10">
                  <c:v>8955073.664485123</c:v>
                </c:pt>
                <c:pt idx="11">
                  <c:v>3176715.5410446753</c:v>
                </c:pt>
              </c:numCache>
            </c:numRef>
          </c:val>
          <c:smooth val="0"/>
          <c:extLst>
            <c:ext xmlns:c16="http://schemas.microsoft.com/office/drawing/2014/chart" uri="{C3380CC4-5D6E-409C-BE32-E72D297353CC}">
              <c16:uniqueId val="{00000000-D966-41E3-83B5-504F07A4E7E1}"/>
            </c:ext>
          </c:extLst>
        </c:ser>
        <c:dLbls>
          <c:showLegendKey val="0"/>
          <c:showVal val="0"/>
          <c:showCatName val="0"/>
          <c:showSerName val="0"/>
          <c:showPercent val="0"/>
          <c:showBubbleSize val="0"/>
        </c:dLbls>
        <c:marker val="1"/>
        <c:smooth val="0"/>
        <c:axId val="221222088"/>
        <c:axId val="221222480"/>
      </c:lineChart>
      <c:catAx>
        <c:axId val="2212220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222480"/>
        <c:crosses val="autoZero"/>
        <c:auto val="1"/>
        <c:lblAlgn val="ctr"/>
        <c:lblOffset val="100"/>
        <c:tickLblSkip val="1"/>
        <c:tickMarkSkip val="1"/>
        <c:noMultiLvlLbl val="0"/>
      </c:catAx>
      <c:valAx>
        <c:axId val="221222480"/>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1.0638349105444389E-2"/>
              <c:y val="0.42574388022925713"/>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22208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Waste!$U$39</c:f>
          <c:strCache>
            <c:ptCount val="1"/>
            <c:pt idx="0">
              <c:v>Emissions from Waste Combustion, 1990-2001</c:v>
            </c:pt>
          </c:strCache>
        </c:strRef>
      </c:tx>
      <c:layout>
        <c:manualLayout>
          <c:xMode val="edge"/>
          <c:yMode val="edge"/>
          <c:x val="0.30570637279611573"/>
          <c:y val="2.710843373493976E-2"/>
        </c:manualLayout>
      </c:layout>
      <c:overlay val="0"/>
      <c:spPr>
        <a:noFill/>
        <a:ln w="25400">
          <a:noFill/>
        </a:ln>
      </c:spPr>
      <c:txPr>
        <a:bodyPr/>
        <a:lstStyle/>
        <a:p>
          <a:pP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7.4592159491731647E-2"/>
          <c:y val="0.13855421686746988"/>
          <c:w val="0.89277490891666311"/>
          <c:h val="0.58935742971887561"/>
        </c:manualLayout>
      </c:layout>
      <c:lineChart>
        <c:grouping val="standard"/>
        <c:varyColors val="0"/>
        <c:ser>
          <c:idx val="0"/>
          <c:order val="0"/>
          <c:tx>
            <c:v>Total CO2</c:v>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[0]!ChartRange_Waste_CO2_from_Waste_Combustion</c:f>
              <c:numCache>
                <c:formatCode>_(* #,##0_);_(* \(#,##0\);_(* "-"??_);_(@_)</c:formatCode>
                <c:ptCount val="12"/>
                <c:pt idx="0">
                  <c:v>97396.116923478854</c:v>
                </c:pt>
                <c:pt idx="1">
                  <c:v>120840.07285876185</c:v>
                </c:pt>
                <c:pt idx="2">
                  <c:v>114854.80727145559</c:v>
                </c:pt>
                <c:pt idx="3">
                  <c:v>128412.66331608381</c:v>
                </c:pt>
                <c:pt idx="4">
                  <c:v>130140.74264596627</c:v>
                </c:pt>
                <c:pt idx="5">
                  <c:v>62310.373750787759</c:v>
                </c:pt>
                <c:pt idx="6">
                  <c:v>63155.450959526759</c:v>
                </c:pt>
                <c:pt idx="7">
                  <c:v>0</c:v>
                </c:pt>
                <c:pt idx="8">
                  <c:v>65409.947883470501</c:v>
                </c:pt>
                <c:pt idx="9">
                  <c:v>138721.81177278832</c:v>
                </c:pt>
                <c:pt idx="10">
                  <c:v>80985.810664499586</c:v>
                </c:pt>
                <c:pt idx="11">
                  <c:v>42322.065294592205</c:v>
                </c:pt>
              </c:numCache>
            </c:numRef>
          </c:val>
          <c:smooth val="0"/>
          <c:extLst>
            <c:ext xmlns:c16="http://schemas.microsoft.com/office/drawing/2014/chart" uri="{C3380CC4-5D6E-409C-BE32-E72D297353CC}">
              <c16:uniqueId val="{00000000-A167-4574-80F2-535E8AD52786}"/>
            </c:ext>
          </c:extLst>
        </c:ser>
        <c:ser>
          <c:idx val="1"/>
          <c:order val="1"/>
          <c:tx>
            <c:v>Total N2O</c:v>
          </c:tx>
          <c:spPr>
            <a:ln w="12700">
              <a:solidFill>
                <a:srgbClr val="003300"/>
              </a:solidFill>
              <a:prstDash val="solid"/>
            </a:ln>
          </c:spPr>
          <c:marker>
            <c:symbol val="square"/>
            <c:size val="5"/>
            <c:spPr>
              <a:solidFill>
                <a:srgbClr val="003300"/>
              </a:solidFill>
              <a:ln>
                <a:solidFill>
                  <a:srgbClr val="0033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[0]!ChartRange_Waste_N2O_from_Waste_Combustion</c:f>
              <c:numCache>
                <c:formatCode>_(* #,##0_);_(* \(#,##0\);_(* "-"??_);_(@_)</c:formatCode>
                <c:ptCount val="12"/>
                <c:pt idx="0">
                  <c:v>3149.2918249100085</c:v>
                </c:pt>
                <c:pt idx="1">
                  <c:v>3509.8977590600098</c:v>
                </c:pt>
                <c:pt idx="2">
                  <c:v>3399.3119392540093</c:v>
                </c:pt>
                <c:pt idx="3">
                  <c:v>3537.7846179676094</c:v>
                </c:pt>
                <c:pt idx="4">
                  <c:v>3606.0593415000094</c:v>
                </c:pt>
                <c:pt idx="5">
                  <c:v>1709.1519258929545</c:v>
                </c:pt>
                <c:pt idx="6">
                  <c:v>1610.7065058700043</c:v>
                </c:pt>
                <c:pt idx="7">
                  <c:v>0</c:v>
                </c:pt>
                <c:pt idx="8">
                  <c:v>1598.6863080650041</c:v>
                </c:pt>
                <c:pt idx="9">
                  <c:v>3249.059466691509</c:v>
                </c:pt>
                <c:pt idx="10">
                  <c:v>1815.2902725111048</c:v>
                </c:pt>
                <c:pt idx="11">
                  <c:v>917.45635225943317</c:v>
                </c:pt>
              </c:numCache>
            </c:numRef>
          </c:val>
          <c:smooth val="0"/>
          <c:extLst>
            <c:ext xmlns:c16="http://schemas.microsoft.com/office/drawing/2014/chart" uri="{C3380CC4-5D6E-409C-BE32-E72D297353CC}">
              <c16:uniqueId val="{00000001-A167-4574-80F2-535E8AD52786}"/>
            </c:ext>
          </c:extLst>
        </c:ser>
        <c:ser>
          <c:idx val="2"/>
          <c:order val="2"/>
          <c:tx>
            <c:v>CO2 from Plastics Combustion</c:v>
          </c:tx>
          <c:spPr>
            <a:ln w="12700">
              <a:solidFill>
                <a:srgbClr val="FF9900"/>
              </a:solidFill>
              <a:prstDash val="solid"/>
            </a:ln>
          </c:spPr>
          <c:marker>
            <c:symbol val="triangle"/>
            <c:size val="5"/>
            <c:spPr>
              <a:solidFill>
                <a:srgbClr val="FF9900"/>
              </a:solidFill>
              <a:ln>
                <a:solidFill>
                  <a:srgbClr val="FF99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[0]!ChartRange_Waste_Plastics</c:f>
              <c:numCache>
                <c:formatCode>_(* #,##0_);_(* \(#,##0\);_(* "-"??_);_(@_)</c:formatCode>
                <c:ptCount val="12"/>
                <c:pt idx="0">
                  <c:v>65786.226921190129</c:v>
                </c:pt>
                <c:pt idx="1">
                  <c:v>81226.301220397945</c:v>
                </c:pt>
                <c:pt idx="2">
                  <c:v>76743.506132357012</c:v>
                </c:pt>
                <c:pt idx="3">
                  <c:v>86064.157621605234</c:v>
                </c:pt>
                <c:pt idx="4">
                  <c:v>86215.428859092906</c:v>
                </c:pt>
                <c:pt idx="5">
                  <c:v>41549.844671473795</c:v>
                </c:pt>
                <c:pt idx="6">
                  <c:v>42119.918822629166</c:v>
                </c:pt>
                <c:pt idx="7">
                  <c:v>0</c:v>
                </c:pt>
                <c:pt idx="8">
                  <c:v>44152.974849105529</c:v>
                </c:pt>
                <c:pt idx="9">
                  <c:v>94978.781537330491</c:v>
                </c:pt>
                <c:pt idx="10">
                  <c:v>56567.190395558697</c:v>
                </c:pt>
                <c:pt idx="11">
                  <c:v>28669.194608188453</c:v>
                </c:pt>
              </c:numCache>
            </c:numRef>
          </c:val>
          <c:smooth val="0"/>
          <c:extLst>
            <c:ext xmlns:c16="http://schemas.microsoft.com/office/drawing/2014/chart" uri="{C3380CC4-5D6E-409C-BE32-E72D297353CC}">
              <c16:uniqueId val="{00000002-A167-4574-80F2-535E8AD52786}"/>
            </c:ext>
          </c:extLst>
        </c:ser>
        <c:ser>
          <c:idx val="3"/>
          <c:order val="3"/>
          <c:tx>
            <c:v>CO2 from Synthetic Rubber Combustion</c:v>
          </c:tx>
          <c:spPr>
            <a:ln w="12700">
              <a:solidFill>
                <a:srgbClr val="FF0000"/>
              </a:solidFill>
              <a:prstDash val="solid"/>
            </a:ln>
          </c:spPr>
          <c:marker>
            <c:symbol val="x"/>
            <c:size val="5"/>
            <c:spPr>
              <a:noFill/>
              <a:ln>
                <a:solidFill>
                  <a:srgbClr val="FF00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[0]!ChartRange_Waste_Synthetic_Rubber_in_MSW</c:f>
              <c:numCache>
                <c:formatCode>_(* #,##0_);_(* \(#,##0\);_(* "-"??_);_(@_)</c:formatCode>
                <c:ptCount val="12"/>
                <c:pt idx="0">
                  <c:v>14019.020373043453</c:v>
                </c:pt>
                <c:pt idx="1">
                  <c:v>17178.923157285964</c:v>
                </c:pt>
                <c:pt idx="2">
                  <c:v>15729.603242728084</c:v>
                </c:pt>
                <c:pt idx="3">
                  <c:v>17167.667117290392</c:v>
                </c:pt>
                <c:pt idx="4">
                  <c:v>17179.067044607564</c:v>
                </c:pt>
                <c:pt idx="5">
                  <c:v>7408.2911386992873</c:v>
                </c:pt>
                <c:pt idx="6">
                  <c:v>7406.7965026426609</c:v>
                </c:pt>
                <c:pt idx="7">
                  <c:v>0</c:v>
                </c:pt>
                <c:pt idx="8">
                  <c:v>7267.3412083299054</c:v>
                </c:pt>
                <c:pt idx="9">
                  <c:v>14628.816668907206</c:v>
                </c:pt>
                <c:pt idx="10">
                  <c:v>8171.7758919821972</c:v>
                </c:pt>
                <c:pt idx="11">
                  <c:v>4649.8127965174735</c:v>
                </c:pt>
              </c:numCache>
            </c:numRef>
          </c:val>
          <c:smooth val="0"/>
          <c:extLst>
            <c:ext xmlns:c16="http://schemas.microsoft.com/office/drawing/2014/chart" uri="{C3380CC4-5D6E-409C-BE32-E72D297353CC}">
              <c16:uniqueId val="{00000003-A167-4574-80F2-535E8AD52786}"/>
            </c:ext>
          </c:extLst>
        </c:ser>
        <c:ser>
          <c:idx val="4"/>
          <c:order val="4"/>
          <c:tx>
            <c:v>CO2 from Synthetic Fiber Combustion</c:v>
          </c:tx>
          <c:spPr>
            <a:ln w="12700">
              <a:solidFill>
                <a:srgbClr val="800080"/>
              </a:solidFill>
              <a:prstDash val="solid"/>
            </a:ln>
          </c:spPr>
          <c:marker>
            <c:symbol val="star"/>
            <c:size val="5"/>
            <c:spPr>
              <a:noFill/>
              <a:ln>
                <a:solidFill>
                  <a:srgbClr val="80008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[0]!ChartRange_Waste_Synthetic_Fibers</c:f>
              <c:numCache>
                <c:formatCode>_(* #,##0_);_(* \(#,##0\);_(* "-"??_);_(@_)</c:formatCode>
                <c:ptCount val="12"/>
                <c:pt idx="0">
                  <c:v>17590.86962924527</c:v>
                </c:pt>
                <c:pt idx="1">
                  <c:v>22434.848481077937</c:v>
                </c:pt>
                <c:pt idx="2">
                  <c:v>22381.697896370486</c:v>
                </c:pt>
                <c:pt idx="3">
                  <c:v>25180.838577188195</c:v>
                </c:pt>
                <c:pt idx="4">
                  <c:v>26746.246742265797</c:v>
                </c:pt>
                <c:pt idx="5">
                  <c:v>13352.237940614681</c:v>
                </c:pt>
                <c:pt idx="6">
                  <c:v>13628.735634254928</c:v>
                </c:pt>
                <c:pt idx="7">
                  <c:v>0</c:v>
                </c:pt>
                <c:pt idx="8">
                  <c:v>13989.631826035065</c:v>
                </c:pt>
                <c:pt idx="9">
                  <c:v>29114.213566550614</c:v>
                </c:pt>
                <c:pt idx="10">
                  <c:v>16246.844376958683</c:v>
                </c:pt>
                <c:pt idx="11">
                  <c:v>9003.0578898862768</c:v>
                </c:pt>
              </c:numCache>
            </c:numRef>
          </c:val>
          <c:smooth val="0"/>
          <c:extLst>
            <c:ext xmlns:c16="http://schemas.microsoft.com/office/drawing/2014/chart" uri="{C3380CC4-5D6E-409C-BE32-E72D297353CC}">
              <c16:uniqueId val="{00000004-A167-4574-80F2-535E8AD52786}"/>
            </c:ext>
          </c:extLst>
        </c:ser>
        <c:ser>
          <c:idx val="5"/>
          <c:order val="5"/>
          <c:tx>
            <c:v>Total CH4</c:v>
          </c:tx>
          <c:spPr>
            <a:ln w="12700">
              <a:solidFill>
                <a:srgbClr val="800000"/>
              </a:solidFill>
              <a:prstDash val="solid"/>
            </a:ln>
          </c:spPr>
          <c:marker>
            <c:symbol val="circle"/>
            <c:size val="5"/>
            <c:spPr>
              <a:solidFill>
                <a:srgbClr val="800000"/>
              </a:solidFill>
              <a:ln>
                <a:solidFill>
                  <a:srgbClr val="8000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[0]!ChartRange_Waste_CH4_from_Waste_Combustion</c:f>
              <c:numCache>
                <c:formatCode>_(* #,##0_);_(* \(#,##0\);_(* "-"??_);_(@_)</c:formatCode>
                <c:ptCount val="12"/>
                <c:pt idx="0">
                  <c:v>133.10214505280035</c:v>
                </c:pt>
                <c:pt idx="1">
                  <c:v>148.3428486848004</c:v>
                </c:pt>
                <c:pt idx="2">
                  <c:v>143.6690329043204</c:v>
                </c:pt>
                <c:pt idx="3">
                  <c:v>149.5214630990084</c:v>
                </c:pt>
                <c:pt idx="4">
                  <c:v>152.40703632000043</c:v>
                </c:pt>
                <c:pt idx="5">
                  <c:v>72.2358549811362</c:v>
                </c:pt>
                <c:pt idx="6">
                  <c:v>68.075142889600187</c:v>
                </c:pt>
                <c:pt idx="7">
                  <c:v>0</c:v>
                </c:pt>
                <c:pt idx="8">
                  <c:v>67.567119435200183</c:v>
                </c:pt>
                <c:pt idx="9">
                  <c:v>137.31873972432038</c:v>
                </c:pt>
                <c:pt idx="10">
                  <c:v>76.721702083488211</c:v>
                </c:pt>
                <c:pt idx="11">
                  <c:v>38.775513755870385</c:v>
                </c:pt>
              </c:numCache>
            </c:numRef>
          </c:val>
          <c:smooth val="0"/>
          <c:extLst>
            <c:ext xmlns:c16="http://schemas.microsoft.com/office/drawing/2014/chart" uri="{C3380CC4-5D6E-409C-BE32-E72D297353CC}">
              <c16:uniqueId val="{00000005-A167-4574-80F2-535E8AD52786}"/>
            </c:ext>
          </c:extLst>
        </c:ser>
        <c:dLbls>
          <c:showLegendKey val="0"/>
          <c:showVal val="0"/>
          <c:showCatName val="0"/>
          <c:showSerName val="0"/>
          <c:showPercent val="0"/>
          <c:showBubbleSize val="0"/>
        </c:dLbls>
        <c:marker val="1"/>
        <c:smooth val="0"/>
        <c:axId val="220697656"/>
        <c:axId val="220698048"/>
      </c:lineChart>
      <c:catAx>
        <c:axId val="2206976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Comic Sans MS"/>
                <a:ea typeface="Comic Sans MS"/>
                <a:cs typeface="Comic Sans MS"/>
              </a:defRPr>
            </a:pPr>
            <a:endParaRPr lang="en-US"/>
          </a:p>
        </c:txPr>
        <c:crossAx val="220698048"/>
        <c:crosses val="autoZero"/>
        <c:auto val="1"/>
        <c:lblAlgn val="ctr"/>
        <c:lblOffset val="100"/>
        <c:tickLblSkip val="1"/>
        <c:tickMarkSkip val="1"/>
        <c:noMultiLvlLbl val="0"/>
      </c:catAx>
      <c:valAx>
        <c:axId val="22069804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900" b="1" i="0" u="none" strike="noStrike" baseline="0">
                    <a:solidFill>
                      <a:srgbClr val="000000"/>
                    </a:solidFill>
                    <a:latin typeface="Comic Sans MS"/>
                  </a:rPr>
                  <a:t>MTCO</a:t>
                </a:r>
                <a:r>
                  <a:rPr lang="en-US" sz="900" b="1" i="0" u="none" strike="noStrike" baseline="-25000">
                    <a:solidFill>
                      <a:srgbClr val="000000"/>
                    </a:solidFill>
                    <a:latin typeface="Comic Sans MS"/>
                  </a:rPr>
                  <a:t>2</a:t>
                </a:r>
                <a:r>
                  <a:rPr lang="en-US" sz="900" b="1" i="0" u="none" strike="noStrike" baseline="0">
                    <a:solidFill>
                      <a:srgbClr val="000000"/>
                    </a:solidFill>
                    <a:latin typeface="Comic Sans MS"/>
                  </a:rPr>
                  <a:t>E</a:t>
                </a:r>
              </a:p>
            </c:rich>
          </c:tx>
          <c:layout>
            <c:manualLayout>
              <c:xMode val="edge"/>
              <c:yMode val="edge"/>
              <c:x val="5.8275547835001636E-3"/>
              <c:y val="0.25"/>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Comic Sans MS"/>
                <a:ea typeface="Comic Sans MS"/>
                <a:cs typeface="Comic Sans MS"/>
              </a:defRPr>
            </a:pPr>
            <a:endParaRPr lang="en-US"/>
          </a:p>
        </c:txPr>
        <c:crossAx val="220697656"/>
        <c:crosses val="autoZero"/>
        <c:crossBetween val="between"/>
      </c:valAx>
      <c:spPr>
        <a:solidFill>
          <a:srgbClr val="FFFFFF"/>
        </a:solidFill>
        <a:ln w="12700">
          <a:solidFill>
            <a:srgbClr val="808080"/>
          </a:solidFill>
          <a:prstDash val="solid"/>
        </a:ln>
      </c:spPr>
    </c:plotArea>
    <c:legend>
      <c:legendPos val="r"/>
      <c:layout>
        <c:manualLayout>
          <c:xMode val="edge"/>
          <c:yMode val="edge"/>
          <c:x val="3.7666208256468332E-2"/>
          <c:y val="0.85450947922425202"/>
          <c:w val="0.92466848504114418"/>
          <c:h val="0.1331969212220057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7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Waste!$U$37</c:f>
          <c:strCache>
            <c:ptCount val="1"/>
            <c:pt idx="0">
              <c:v>GHG Emissions from Landfills and Waste Combustion, 1990-2001</c:v>
            </c:pt>
          </c:strCache>
        </c:strRef>
      </c:tx>
      <c:layout>
        <c:manualLayout>
          <c:xMode val="edge"/>
          <c:yMode val="edge"/>
          <c:x val="0.23144670531389161"/>
          <c:y val="1.6501611795169898E-2"/>
        </c:manualLayout>
      </c:layout>
      <c:overlay val="0"/>
      <c:spPr>
        <a:noFill/>
        <a:ln w="25400">
          <a:noFill/>
        </a:ln>
      </c:spPr>
      <c:txPr>
        <a:bodyPr/>
        <a:lstStyle/>
        <a:p>
          <a:pP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8.6374798479792139E-2"/>
          <c:y val="0.22772350622520313"/>
          <c:w val="0.87712999583000184"/>
          <c:h val="0.57975970825429013"/>
        </c:manualLayout>
      </c:layout>
      <c:lineChart>
        <c:grouping val="standard"/>
        <c:varyColors val="0"/>
        <c:ser>
          <c:idx val="0"/>
          <c:order val="0"/>
          <c:tx>
            <c:strRef>
              <c:f>Waste!$B$5</c:f>
              <c:strCache>
                <c:ptCount val="1"/>
                <c:pt idx="0">
                  <c:v>CH4</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[0]!ChartRange_Waste_CH4</c:f>
              <c:numCache>
                <c:formatCode>_(* #,##0.000_);_(* \(#,##0.000\);_(* "-"??_);_(@_)</c:formatCode>
                <c:ptCount val="12"/>
                <c:pt idx="0">
                  <c:v>10.138660692814389</c:v>
                </c:pt>
                <c:pt idx="1">
                  <c:v>10.330239864881969</c:v>
                </c:pt>
                <c:pt idx="2">
                  <c:v>10.68164016909946</c:v>
                </c:pt>
                <c:pt idx="3">
                  <c:v>10.973794724730368</c:v>
                </c:pt>
                <c:pt idx="4">
                  <c:v>11.175567222626427</c:v>
                </c:pt>
                <c:pt idx="5">
                  <c:v>11.478922071683447</c:v>
                </c:pt>
                <c:pt idx="6">
                  <c:v>11.611722615703426</c:v>
                </c:pt>
                <c:pt idx="7">
                  <c:v>11.371495676686024</c:v>
                </c:pt>
                <c:pt idx="8">
                  <c:v>10.268691533186461</c:v>
                </c:pt>
                <c:pt idx="9">
                  <c:v>9.924375606579618</c:v>
                </c:pt>
                <c:pt idx="10">
                  <c:v>8.9551503861872064</c:v>
                </c:pt>
                <c:pt idx="11">
                  <c:v>3.1767543165584313</c:v>
                </c:pt>
              </c:numCache>
            </c:numRef>
          </c:val>
          <c:smooth val="0"/>
          <c:extLst>
            <c:ext xmlns:c16="http://schemas.microsoft.com/office/drawing/2014/chart" uri="{C3380CC4-5D6E-409C-BE32-E72D297353CC}">
              <c16:uniqueId val="{00000000-6333-4A92-B0ED-790C55ADF754}"/>
            </c:ext>
          </c:extLst>
        </c:ser>
        <c:ser>
          <c:idx val="1"/>
          <c:order val="1"/>
          <c:tx>
            <c:strRef>
              <c:f>Waste!$B$6</c:f>
              <c:strCache>
                <c:ptCount val="1"/>
                <c:pt idx="0">
                  <c:v>CO2</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[0]!ChartRange_Waste_CO2</c:f>
              <c:numCache>
                <c:formatCode>_(* #,##0.000_);_(* \(#,##0.000\);_(* "-"??_);_(@_)</c:formatCode>
                <c:ptCount val="12"/>
                <c:pt idx="0">
                  <c:v>9.7396116923478854E-2</c:v>
                </c:pt>
                <c:pt idx="1">
                  <c:v>0.12084007285876185</c:v>
                </c:pt>
                <c:pt idx="2">
                  <c:v>0.11485480727145558</c:v>
                </c:pt>
                <c:pt idx="3">
                  <c:v>0.12841266331608381</c:v>
                </c:pt>
                <c:pt idx="4">
                  <c:v>0.13014074264596626</c:v>
                </c:pt>
                <c:pt idx="5">
                  <c:v>6.2310373750787761E-2</c:v>
                </c:pt>
                <c:pt idx="6">
                  <c:v>6.3155450959526765E-2</c:v>
                </c:pt>
                <c:pt idx="7">
                  <c:v>0</c:v>
                </c:pt>
                <c:pt idx="8">
                  <c:v>6.5409947883470501E-2</c:v>
                </c:pt>
                <c:pt idx="9">
                  <c:v>0.13872181177278833</c:v>
                </c:pt>
                <c:pt idx="10">
                  <c:v>8.0985810664499586E-2</c:v>
                </c:pt>
                <c:pt idx="11">
                  <c:v>4.2322065294592204E-2</c:v>
                </c:pt>
              </c:numCache>
            </c:numRef>
          </c:val>
          <c:smooth val="0"/>
          <c:extLst>
            <c:ext xmlns:c16="http://schemas.microsoft.com/office/drawing/2014/chart" uri="{C3380CC4-5D6E-409C-BE32-E72D297353CC}">
              <c16:uniqueId val="{00000001-6333-4A92-B0ED-790C55ADF754}"/>
            </c:ext>
          </c:extLst>
        </c:ser>
        <c:ser>
          <c:idx val="2"/>
          <c:order val="2"/>
          <c:tx>
            <c:strRef>
              <c:f>Waste!$B$7</c:f>
              <c:strCache>
                <c:ptCount val="1"/>
                <c:pt idx="0">
                  <c:v>N2O</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[0]!ChartRange_Waste_Year</c:f>
              <c:numCache>
                <c:formatCode>General</c:formatCode>
                <c:ptCount val="12"/>
                <c:pt idx="0">
                  <c:v>1990</c:v>
                </c:pt>
                <c:pt idx="1">
                  <c:v>1991</c:v>
                </c:pt>
                <c:pt idx="2">
                  <c:v>1992</c:v>
                </c:pt>
                <c:pt idx="3">
                  <c:v>1993</c:v>
                </c:pt>
                <c:pt idx="4">
                  <c:v>1994</c:v>
                </c:pt>
                <c:pt idx="5">
                  <c:v>1995</c:v>
                </c:pt>
                <c:pt idx="6">
                  <c:v>1996</c:v>
                </c:pt>
                <c:pt idx="7">
                  <c:v>1997</c:v>
                </c:pt>
                <c:pt idx="8">
                  <c:v>1998</c:v>
                </c:pt>
                <c:pt idx="9">
                  <c:v>1999</c:v>
                </c:pt>
                <c:pt idx="10">
                  <c:v>2000</c:v>
                </c:pt>
                <c:pt idx="11">
                  <c:v>2001</c:v>
                </c:pt>
              </c:numCache>
            </c:numRef>
          </c:cat>
          <c:val>
            <c:numRef>
              <c:f>[0]!ChartRange_Waste_N2O</c:f>
              <c:numCache>
                <c:formatCode>_(* #,##0.000_);_(* \(#,##0.000\);_(* "-"??_);_(@_)</c:formatCode>
                <c:ptCount val="12"/>
                <c:pt idx="0">
                  <c:v>3.1492918249100086E-3</c:v>
                </c:pt>
                <c:pt idx="1">
                  <c:v>3.5098977590600098E-3</c:v>
                </c:pt>
                <c:pt idx="2">
                  <c:v>3.3993119392540091E-3</c:v>
                </c:pt>
                <c:pt idx="3">
                  <c:v>3.5377846179676094E-3</c:v>
                </c:pt>
                <c:pt idx="4">
                  <c:v>3.6060593415000093E-3</c:v>
                </c:pt>
                <c:pt idx="5">
                  <c:v>1.7091519258929544E-3</c:v>
                </c:pt>
                <c:pt idx="6">
                  <c:v>1.6107065058700042E-3</c:v>
                </c:pt>
                <c:pt idx="7">
                  <c:v>0</c:v>
                </c:pt>
                <c:pt idx="8">
                  <c:v>1.598686308065004E-3</c:v>
                </c:pt>
                <c:pt idx="9">
                  <c:v>3.2490594666915091E-3</c:v>
                </c:pt>
                <c:pt idx="10">
                  <c:v>1.8152902725111048E-3</c:v>
                </c:pt>
                <c:pt idx="11">
                  <c:v>9.1745635225943319E-4</c:v>
                </c:pt>
              </c:numCache>
            </c:numRef>
          </c:val>
          <c:smooth val="0"/>
          <c:extLst>
            <c:ext xmlns:c16="http://schemas.microsoft.com/office/drawing/2014/chart" uri="{C3380CC4-5D6E-409C-BE32-E72D297353CC}">
              <c16:uniqueId val="{00000002-6333-4A92-B0ED-790C55ADF754}"/>
            </c:ext>
          </c:extLst>
        </c:ser>
        <c:ser>
          <c:idx val="3"/>
          <c:order val="3"/>
          <c:tx>
            <c:v>Additional Emissions Source</c:v>
          </c:tx>
          <c:spPr>
            <a:ln w="12700"/>
          </c:spPr>
          <c:marker>
            <c:spPr>
              <a:ln w="12700"/>
            </c:spPr>
          </c:marker>
          <c:val>
            <c:numRef>
              <c:f>Waste!$C$8:$AF$8</c:f>
              <c:numCache>
                <c:formatCode>General</c:formatCode>
                <c:ptCount val="30"/>
              </c:numCache>
            </c:numRef>
          </c:val>
          <c:smooth val="0"/>
          <c:extLst>
            <c:ext xmlns:c16="http://schemas.microsoft.com/office/drawing/2014/chart" uri="{C3380CC4-5D6E-409C-BE32-E72D297353CC}">
              <c16:uniqueId val="{00000001-B591-48AC-80CB-CF331A369A2B}"/>
            </c:ext>
          </c:extLst>
        </c:ser>
        <c:dLbls>
          <c:showLegendKey val="0"/>
          <c:showVal val="0"/>
          <c:showCatName val="0"/>
          <c:showSerName val="0"/>
          <c:showPercent val="0"/>
          <c:showBubbleSize val="0"/>
        </c:dLbls>
        <c:marker val="1"/>
        <c:smooth val="0"/>
        <c:axId val="220699224"/>
        <c:axId val="220699616"/>
      </c:lineChart>
      <c:catAx>
        <c:axId val="220699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699616"/>
        <c:crosses val="autoZero"/>
        <c:auto val="1"/>
        <c:lblAlgn val="ctr"/>
        <c:lblOffset val="100"/>
        <c:tickLblSkip val="1"/>
        <c:tickMarkSkip val="1"/>
        <c:noMultiLvlLbl val="0"/>
      </c:catAx>
      <c:valAx>
        <c:axId val="220699616"/>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82720538119704E-3"/>
              <c:y val="0.3861399958592962"/>
            </c:manualLayout>
          </c:layout>
          <c:overlay val="0"/>
          <c:spPr>
            <a:noFill/>
            <a:ln w="25400">
              <a:noFill/>
            </a:ln>
          </c:spPr>
        </c:title>
        <c:numFmt formatCode="_(* #,##0.000_);_(* \(#,##0.00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0699224"/>
        <c:crosses val="autoZero"/>
        <c:crossBetween val="between"/>
      </c:valAx>
      <c:spPr>
        <a:solidFill>
          <a:srgbClr val="FFFFFF"/>
        </a:solidFill>
        <a:ln w="12700">
          <a:solidFill>
            <a:srgbClr val="808080"/>
          </a:solidFill>
          <a:prstDash val="solid"/>
        </a:ln>
      </c:spPr>
    </c:plotArea>
    <c:legend>
      <c:legendPos val="r"/>
      <c:layout>
        <c:manualLayout>
          <c:xMode val="edge"/>
          <c:yMode val="edge"/>
          <c:x val="0.17263289120291861"/>
          <c:y val="0.13234493714601464"/>
          <c:w val="0.69161907730101835"/>
          <c:h val="6.2558364414974449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05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Wastewater!$AA$27</c:f>
          <c:strCache>
            <c:ptCount val="1"/>
            <c:pt idx="0">
              <c:v>Methane Emissions from Industrial Wastewater, 1990-2020</c:v>
            </c:pt>
          </c:strCache>
        </c:strRef>
      </c:tx>
      <c:layout>
        <c:manualLayout>
          <c:xMode val="edge"/>
          <c:yMode val="edge"/>
          <c:x val="0.23952679148250255"/>
          <c:y val="2.505446623093681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7.5517661388550553E-2"/>
          <c:y val="0.19934704142106255"/>
          <c:w val="0.86723507917174181"/>
          <c:h val="0.62091701426232593"/>
        </c:manualLayout>
      </c:layout>
      <c:lineChart>
        <c:grouping val="standard"/>
        <c:varyColors val="0"/>
        <c:ser>
          <c:idx val="0"/>
          <c:order val="0"/>
          <c:tx>
            <c:strRef>
              <c:f>Wastewater!$B$8</c:f>
              <c:strCache>
                <c:ptCount val="1"/>
                <c:pt idx="0">
                  <c:v>Fruits &amp; Vegetables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[0]!ChartRange_Wastewater_Fruits_Vegetables</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0-A89A-4933-AAB6-C0947C818E6B}"/>
            </c:ext>
          </c:extLst>
        </c:ser>
        <c:ser>
          <c:idx val="1"/>
          <c:order val="1"/>
          <c:tx>
            <c:strRef>
              <c:f>Wastewater!$B$9</c:f>
              <c:strCache>
                <c:ptCount val="1"/>
                <c:pt idx="0">
                  <c:v>Red Meat</c:v>
                </c:pt>
              </c:strCache>
            </c:strRef>
          </c:tx>
          <c:spPr>
            <a:ln w="12700">
              <a:solidFill>
                <a:srgbClr val="FF0000"/>
              </a:solidFill>
              <a:prstDash val="solid"/>
            </a:ln>
          </c:spPr>
          <c:marker>
            <c:symbol val="square"/>
            <c:size val="5"/>
            <c:spPr>
              <a:solidFill>
                <a:srgbClr val="FF0000"/>
              </a:solidFill>
              <a:ln>
                <a:solidFill>
                  <a:srgbClr val="FF000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[0]!ChartRange_Wastewater_Red_Meat</c:f>
              <c:numCache>
                <c:formatCode>_(* #,##0.00_);_(* \(#,##0.00\);_(* "-"??_);_(@_)</c:formatCode>
                <c:ptCount val="31"/>
                <c:pt idx="0">
                  <c:v>8.3876252057135989E-2</c:v>
                </c:pt>
                <c:pt idx="1">
                  <c:v>8.0221047579287982E-2</c:v>
                </c:pt>
                <c:pt idx="2">
                  <c:v>8.0971094180591993E-2</c:v>
                </c:pt>
                <c:pt idx="3">
                  <c:v>7.6552267597343987E-2</c:v>
                </c:pt>
                <c:pt idx="4">
                  <c:v>8.740588312209599E-2</c:v>
                </c:pt>
                <c:pt idx="5">
                  <c:v>8.8522468333992022E-2</c:v>
                </c:pt>
                <c:pt idx="6">
                  <c:v>8.248136901127201E-2</c:v>
                </c:pt>
                <c:pt idx="7">
                  <c:v>8.1239210386487987E-2</c:v>
                </c:pt>
                <c:pt idx="8">
                  <c:v>8.7246370948967991E-2</c:v>
                </c:pt>
                <c:pt idx="9">
                  <c:v>8.8447803061463978E-2</c:v>
                </c:pt>
                <c:pt idx="10">
                  <c:v>9.0996603955488004E-2</c:v>
                </c:pt>
                <c:pt idx="11">
                  <c:v>8.9893594247687975E-2</c:v>
                </c:pt>
                <c:pt idx="12">
                  <c:v>8.9106215010120005E-2</c:v>
                </c:pt>
                <c:pt idx="13">
                  <c:v>8.4673812922775996E-2</c:v>
                </c:pt>
                <c:pt idx="14">
                  <c:v>8.9842686107327999E-2</c:v>
                </c:pt>
                <c:pt idx="15">
                  <c:v>9.0816728526216001E-2</c:v>
                </c:pt>
                <c:pt idx="16">
                  <c:v>9.2903962280976013E-2</c:v>
                </c:pt>
                <c:pt idx="17">
                  <c:v>9.7115762426760011E-2</c:v>
                </c:pt>
                <c:pt idx="18">
                  <c:v>0.10281408027105601</c:v>
                </c:pt>
                <c:pt idx="19">
                  <c:v>9.5931299694384006E-2</c:v>
                </c:pt>
                <c:pt idx="20">
                  <c:v>9.216070343171999E-2</c:v>
                </c:pt>
                <c:pt idx="21">
                  <c:v>9.3572555857703979E-2</c:v>
                </c:pt>
                <c:pt idx="22">
                  <c:v>0.10101871985435999</c:v>
                </c:pt>
                <c:pt idx="23">
                  <c:v>0.10337067593899202</c:v>
                </c:pt>
                <c:pt idx="24">
                  <c:v>0.10280050476696</c:v>
                </c:pt>
                <c:pt idx="25">
                  <c:v>0.11141755599189601</c:v>
                </c:pt>
                <c:pt idx="26">
                  <c:v>0.11444828728132803</c:v>
                </c:pt>
                <c:pt idx="27">
                  <c:v>0.11467567697493601</c:v>
                </c:pt>
                <c:pt idx="28">
                  <c:v>0.11539178481599997</c:v>
                </c:pt>
                <c:pt idx="29">
                  <c:v>0.11819512641182398</c:v>
                </c:pt>
                <c:pt idx="30">
                  <c:v>0.11960019108576002</c:v>
                </c:pt>
              </c:numCache>
            </c:numRef>
          </c:val>
          <c:smooth val="0"/>
          <c:extLst>
            <c:ext xmlns:c16="http://schemas.microsoft.com/office/drawing/2014/chart" uri="{C3380CC4-5D6E-409C-BE32-E72D297353CC}">
              <c16:uniqueId val="{00000001-A89A-4933-AAB6-C0947C818E6B}"/>
            </c:ext>
          </c:extLst>
        </c:ser>
        <c:ser>
          <c:idx val="2"/>
          <c:order val="2"/>
          <c:tx>
            <c:strRef>
              <c:f>Wastewater!$B$11</c:f>
              <c:strCache>
                <c:ptCount val="1"/>
                <c:pt idx="0">
                  <c:v>Pulp &amp; Paper</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[0]!ChartRange_Wastewater_Pulp_Paper</c:f>
              <c:numCache>
                <c:formatCode>_(* #,##0.00_);_(* \(#,##0.00\);_(*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mooth val="0"/>
          <c:extLst>
            <c:ext xmlns:c16="http://schemas.microsoft.com/office/drawing/2014/chart" uri="{C3380CC4-5D6E-409C-BE32-E72D297353CC}">
              <c16:uniqueId val="{00000002-A89A-4933-AAB6-C0947C818E6B}"/>
            </c:ext>
          </c:extLst>
        </c:ser>
        <c:dLbls>
          <c:showLegendKey val="0"/>
          <c:showVal val="0"/>
          <c:showCatName val="0"/>
          <c:showSerName val="0"/>
          <c:showPercent val="0"/>
          <c:showBubbleSize val="0"/>
        </c:dLbls>
        <c:marker val="1"/>
        <c:smooth val="0"/>
        <c:axId val="220700400"/>
        <c:axId val="220700792"/>
      </c:lineChart>
      <c:catAx>
        <c:axId val="22070040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0700792"/>
        <c:crosses val="autoZero"/>
        <c:auto val="1"/>
        <c:lblAlgn val="ctr"/>
        <c:lblOffset val="100"/>
        <c:tickLblSkip val="1"/>
        <c:tickMarkSkip val="1"/>
        <c:noMultiLvlLbl val="0"/>
      </c:catAx>
      <c:valAx>
        <c:axId val="220700792"/>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900830378658802E-3"/>
              <c:y val="0.41176595349823697"/>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0700400"/>
        <c:crosses val="autoZero"/>
        <c:crossBetween val="between"/>
      </c:valAx>
      <c:spPr>
        <a:solidFill>
          <a:srgbClr val="FFFFFF"/>
        </a:solidFill>
        <a:ln w="12700">
          <a:solidFill>
            <a:srgbClr val="808080"/>
          </a:solidFill>
          <a:prstDash val="solid"/>
        </a:ln>
      </c:spPr>
    </c:plotArea>
    <c:legend>
      <c:legendPos val="r"/>
      <c:layout>
        <c:manualLayout>
          <c:xMode val="edge"/>
          <c:yMode val="edge"/>
          <c:x val="0.22989477858728258"/>
          <c:y val="0.12666666666666668"/>
          <c:w val="0.52802683290203734"/>
          <c:h val="6.4444479407812172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Wastewater!$AA$26</c:f>
          <c:strCache>
            <c:ptCount val="1"/>
            <c:pt idx="0">
              <c:v>Total Wastewater Emissions, 1990-2020</c:v>
            </c:pt>
          </c:strCache>
        </c:strRef>
      </c:tx>
      <c:layout>
        <c:manualLayout>
          <c:xMode val="edge"/>
          <c:yMode val="edge"/>
          <c:x val="0.33652061740457623"/>
          <c:y val="1.2096500052030943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8.0194458271507077E-2"/>
          <c:y val="0.21122180287555073"/>
          <c:w val="0.85783768999521215"/>
          <c:h val="0.60396234259727788"/>
        </c:manualLayout>
      </c:layout>
      <c:lineChart>
        <c:grouping val="standard"/>
        <c:varyColors val="0"/>
        <c:ser>
          <c:idx val="0"/>
          <c:order val="0"/>
          <c:tx>
            <c:strRef>
              <c:f>Wastewater!$B$5</c:f>
              <c:strCache>
                <c:ptCount val="1"/>
                <c:pt idx="0">
                  <c:v>Municipal CH4</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[0]!ChartRange_Wastewater_Municipal_CH4</c:f>
              <c:numCache>
                <c:formatCode>_(* #,##0.00_);_(* \(#,##0.00\);_(* "-"??_);_(@_)</c:formatCode>
                <c:ptCount val="31"/>
                <c:pt idx="0">
                  <c:v>0.80755256691406052</c:v>
                </c:pt>
                <c:pt idx="1">
                  <c:v>0.81570669793240302</c:v>
                </c:pt>
                <c:pt idx="2">
                  <c:v>0.82453573333393904</c:v>
                </c:pt>
                <c:pt idx="3">
                  <c:v>0.83267202578051491</c:v>
                </c:pt>
                <c:pt idx="4">
                  <c:v>0.83993479227604773</c:v>
                </c:pt>
                <c:pt idx="5">
                  <c:v>0.84669314318890543</c:v>
                </c:pt>
                <c:pt idx="6">
                  <c:v>0.85328988933303329</c:v>
                </c:pt>
                <c:pt idx="7">
                  <c:v>0.85919269388299169</c:v>
                </c:pt>
                <c:pt idx="8">
                  <c:v>0.86526570520071333</c:v>
                </c:pt>
                <c:pt idx="9">
                  <c:v>0.87141211554297582</c:v>
                </c:pt>
                <c:pt idx="10">
                  <c:v>0.87671017135759655</c:v>
                </c:pt>
                <c:pt idx="11">
                  <c:v>0.88053763787841588</c:v>
                </c:pt>
                <c:pt idx="12">
                  <c:v>0.88315426727297264</c:v>
                </c:pt>
                <c:pt idx="13">
                  <c:v>0.88530124162193258</c:v>
                </c:pt>
                <c:pt idx="14">
                  <c:v>0.88768209163314205</c:v>
                </c:pt>
                <c:pt idx="15">
                  <c:v>0.88910142147368609</c:v>
                </c:pt>
                <c:pt idx="16">
                  <c:v>0.89150236631870372</c:v>
                </c:pt>
                <c:pt idx="17">
                  <c:v>0.89516251690750037</c:v>
                </c:pt>
                <c:pt idx="18">
                  <c:v>0.89877056194477412</c:v>
                </c:pt>
                <c:pt idx="19">
                  <c:v>0.90227763925568616</c:v>
                </c:pt>
                <c:pt idx="20">
                  <c:v>0.90536357115489574</c:v>
                </c:pt>
                <c:pt idx="21">
                  <c:v>0.90728407320143023</c:v>
                </c:pt>
                <c:pt idx="22">
                  <c:v>0.90835904104787479</c:v>
                </c:pt>
                <c:pt idx="23">
                  <c:v>0.90925794994688613</c:v>
                </c:pt>
                <c:pt idx="24">
                  <c:v>0.90850449944136924</c:v>
                </c:pt>
                <c:pt idx="25">
                  <c:v>0.90670604706964752</c:v>
                </c:pt>
                <c:pt idx="26">
                  <c:v>0.90403547891065905</c:v>
                </c:pt>
                <c:pt idx="27">
                  <c:v>0.90108710848779794</c:v>
                </c:pt>
                <c:pt idx="28">
                  <c:v>0.89719449240052751</c:v>
                </c:pt>
                <c:pt idx="29">
                  <c:v>0.8931284261688095</c:v>
                </c:pt>
                <c:pt idx="30">
                  <c:v>0.88752394176566363</c:v>
                </c:pt>
              </c:numCache>
            </c:numRef>
          </c:val>
          <c:smooth val="0"/>
          <c:extLst>
            <c:ext xmlns:c16="http://schemas.microsoft.com/office/drawing/2014/chart" uri="{C3380CC4-5D6E-409C-BE32-E72D297353CC}">
              <c16:uniqueId val="{00000000-77A5-49C9-8009-F509C8CC4432}"/>
            </c:ext>
          </c:extLst>
        </c:ser>
        <c:ser>
          <c:idx val="1"/>
          <c:order val="1"/>
          <c:tx>
            <c:strRef>
              <c:f>Wastewater!$B$6</c:f>
              <c:strCache>
                <c:ptCount val="1"/>
                <c:pt idx="0">
                  <c:v>Municipal N2O </c:v>
                </c:pt>
              </c:strCache>
            </c:strRef>
          </c:tx>
          <c:spPr>
            <a:ln w="12700">
              <a:solidFill>
                <a:srgbClr val="003300"/>
              </a:solidFill>
              <a:prstDash val="solid"/>
            </a:ln>
          </c:spPr>
          <c:marker>
            <c:symbol val="square"/>
            <c:size val="5"/>
            <c:spPr>
              <a:solidFill>
                <a:srgbClr val="003300"/>
              </a:solidFill>
              <a:ln>
                <a:solidFill>
                  <a:srgbClr val="00330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[0]!ChartRange_Wastewater_Municipal_N2O</c:f>
              <c:numCache>
                <c:formatCode>_(* #,##0.00_);_(* \(#,##0.00\);_(* "-"??_);_(@_)</c:formatCode>
                <c:ptCount val="31"/>
                <c:pt idx="0">
                  <c:v>0.29777998929022331</c:v>
                </c:pt>
                <c:pt idx="1">
                  <c:v>0.30325027828791473</c:v>
                </c:pt>
                <c:pt idx="2">
                  <c:v>0.30902276296312259</c:v>
                </c:pt>
                <c:pt idx="3">
                  <c:v>0.31207211482316938</c:v>
                </c:pt>
                <c:pt idx="4">
                  <c:v>0.31986743274139384</c:v>
                </c:pt>
                <c:pt idx="5">
                  <c:v>0.3198840902364638</c:v>
                </c:pt>
                <c:pt idx="6">
                  <c:v>0.3249533758990219</c:v>
                </c:pt>
                <c:pt idx="7">
                  <c:v>0.32460647098834183</c:v>
                </c:pt>
                <c:pt idx="8">
                  <c:v>0.32951405550392093</c:v>
                </c:pt>
                <c:pt idx="9">
                  <c:v>0.33711823482357672</c:v>
                </c:pt>
                <c:pt idx="10">
                  <c:v>0.3391678634577952</c:v>
                </c:pt>
                <c:pt idx="11">
                  <c:v>0.33532997591052627</c:v>
                </c:pt>
                <c:pt idx="12">
                  <c:v>0.33899365280026006</c:v>
                </c:pt>
                <c:pt idx="13">
                  <c:v>0.34249144180964514</c:v>
                </c:pt>
                <c:pt idx="14">
                  <c:v>0.34609338337865908</c:v>
                </c:pt>
                <c:pt idx="15">
                  <c:v>0.34127643351137121</c:v>
                </c:pt>
                <c:pt idx="16">
                  <c:v>0.34489043555142224</c:v>
                </c:pt>
                <c:pt idx="17">
                  <c:v>0.34360294990518786</c:v>
                </c:pt>
                <c:pt idx="18">
                  <c:v>0.33955914944131638</c:v>
                </c:pt>
                <c:pt idx="19">
                  <c:v>0.33815918191347949</c:v>
                </c:pt>
                <c:pt idx="20">
                  <c:v>0.33931573967472267</c:v>
                </c:pt>
                <c:pt idx="21">
                  <c:v>0.33320405002348863</c:v>
                </c:pt>
                <c:pt idx="22">
                  <c:v>0.3367446717851415</c:v>
                </c:pt>
                <c:pt idx="23">
                  <c:v>0.33684025665373679</c:v>
                </c:pt>
                <c:pt idx="24">
                  <c:v>0.3408354078970337</c:v>
                </c:pt>
                <c:pt idx="25">
                  <c:v>0.34371554082372452</c:v>
                </c:pt>
                <c:pt idx="26">
                  <c:v>0.34382627976365848</c:v>
                </c:pt>
                <c:pt idx="27">
                  <c:v>0.34419507961258111</c:v>
                </c:pt>
                <c:pt idx="28">
                  <c:v>0.34419188578243037</c:v>
                </c:pt>
                <c:pt idx="29">
                  <c:v>0.33880791614117928</c:v>
                </c:pt>
                <c:pt idx="30">
                  <c:v>0.3368126949154352</c:v>
                </c:pt>
              </c:numCache>
            </c:numRef>
          </c:val>
          <c:smooth val="0"/>
          <c:extLst>
            <c:ext xmlns:c16="http://schemas.microsoft.com/office/drawing/2014/chart" uri="{C3380CC4-5D6E-409C-BE32-E72D297353CC}">
              <c16:uniqueId val="{00000001-77A5-49C9-8009-F509C8CC4432}"/>
            </c:ext>
          </c:extLst>
        </c:ser>
        <c:ser>
          <c:idx val="2"/>
          <c:order val="2"/>
          <c:tx>
            <c:strRef>
              <c:f>Wastewater!$B$7</c:f>
              <c:strCache>
                <c:ptCount val="1"/>
                <c:pt idx="0">
                  <c:v>Industrial CH4</c:v>
                </c:pt>
              </c:strCache>
            </c:strRef>
          </c:tx>
          <c:spPr>
            <a:ln w="12700">
              <a:solidFill>
                <a:srgbClr val="FF9900"/>
              </a:solidFill>
              <a:prstDash val="solid"/>
            </a:ln>
          </c:spPr>
          <c:marker>
            <c:symbol val="triangle"/>
            <c:size val="5"/>
            <c:spPr>
              <a:solidFill>
                <a:srgbClr val="FF9900"/>
              </a:solidFill>
              <a:ln>
                <a:solidFill>
                  <a:srgbClr val="FF9900"/>
                </a:solidFill>
                <a:prstDash val="solid"/>
              </a:ln>
            </c:spPr>
          </c:marker>
          <c:cat>
            <c:numRef>
              <c:f>[0]!ChartRange_Wastewater_Year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[0]!ChartRange_Wastewater_Industrial_CH4</c:f>
              <c:numCache>
                <c:formatCode>_(* #,##0.00_);_(* \(#,##0.00\);_(* "-"??_);_(@_)</c:formatCode>
                <c:ptCount val="31"/>
                <c:pt idx="0">
                  <c:v>8.3876252057135989E-2</c:v>
                </c:pt>
                <c:pt idx="1">
                  <c:v>8.0221047579287982E-2</c:v>
                </c:pt>
                <c:pt idx="2">
                  <c:v>8.0971094180591993E-2</c:v>
                </c:pt>
                <c:pt idx="3">
                  <c:v>7.6552267597343987E-2</c:v>
                </c:pt>
                <c:pt idx="4">
                  <c:v>8.740588312209599E-2</c:v>
                </c:pt>
                <c:pt idx="5">
                  <c:v>8.8522468333992022E-2</c:v>
                </c:pt>
                <c:pt idx="6">
                  <c:v>8.248136901127201E-2</c:v>
                </c:pt>
                <c:pt idx="7">
                  <c:v>8.1239210386487987E-2</c:v>
                </c:pt>
                <c:pt idx="8">
                  <c:v>8.7246370948967991E-2</c:v>
                </c:pt>
                <c:pt idx="9">
                  <c:v>8.8447803061463978E-2</c:v>
                </c:pt>
                <c:pt idx="10">
                  <c:v>9.0996603955488004E-2</c:v>
                </c:pt>
                <c:pt idx="11">
                  <c:v>8.9893594247687975E-2</c:v>
                </c:pt>
                <c:pt idx="12">
                  <c:v>8.9106215010120005E-2</c:v>
                </c:pt>
                <c:pt idx="13">
                  <c:v>8.4673812922775996E-2</c:v>
                </c:pt>
                <c:pt idx="14">
                  <c:v>8.9842686107327999E-2</c:v>
                </c:pt>
                <c:pt idx="15">
                  <c:v>9.0816728526216001E-2</c:v>
                </c:pt>
                <c:pt idx="16">
                  <c:v>9.2903962280976013E-2</c:v>
                </c:pt>
                <c:pt idx="17">
                  <c:v>9.7115762426760011E-2</c:v>
                </c:pt>
                <c:pt idx="18">
                  <c:v>0.10281408027105601</c:v>
                </c:pt>
                <c:pt idx="19">
                  <c:v>9.5931299694384006E-2</c:v>
                </c:pt>
                <c:pt idx="20">
                  <c:v>9.216070343171999E-2</c:v>
                </c:pt>
                <c:pt idx="21">
                  <c:v>9.3572555857703979E-2</c:v>
                </c:pt>
                <c:pt idx="22">
                  <c:v>0.10101871985435999</c:v>
                </c:pt>
                <c:pt idx="23">
                  <c:v>0.10337067593899202</c:v>
                </c:pt>
                <c:pt idx="24">
                  <c:v>0.10280050476696</c:v>
                </c:pt>
                <c:pt idx="25">
                  <c:v>0.11141755599189601</c:v>
                </c:pt>
                <c:pt idx="26">
                  <c:v>0.11444828728132803</c:v>
                </c:pt>
                <c:pt idx="27">
                  <c:v>0.11467567697493601</c:v>
                </c:pt>
                <c:pt idx="28">
                  <c:v>0.11539178481599997</c:v>
                </c:pt>
                <c:pt idx="29">
                  <c:v>0.11819512641182398</c:v>
                </c:pt>
                <c:pt idx="30">
                  <c:v>0.11960019108576002</c:v>
                </c:pt>
              </c:numCache>
            </c:numRef>
          </c:val>
          <c:smooth val="0"/>
          <c:extLst>
            <c:ext xmlns:c16="http://schemas.microsoft.com/office/drawing/2014/chart" uri="{C3380CC4-5D6E-409C-BE32-E72D297353CC}">
              <c16:uniqueId val="{00000002-77A5-49C9-8009-F509C8CC4432}"/>
            </c:ext>
          </c:extLst>
        </c:ser>
        <c:ser>
          <c:idx val="3"/>
          <c:order val="3"/>
          <c:tx>
            <c:strRef>
              <c:f>Wastewater!$B$12</c:f>
              <c:strCache>
                <c:ptCount val="1"/>
                <c:pt idx="0">
                  <c:v>Additional Nitrous Oxide Emissions</c:v>
                </c:pt>
              </c:strCache>
            </c:strRef>
          </c:tx>
          <c:spPr>
            <a:ln w="12700"/>
          </c:spPr>
          <c:marker>
            <c:spPr>
              <a:ln w="12700"/>
            </c:spPr>
          </c:marker>
          <c:val>
            <c:numRef>
              <c:f>Wastewater!$C$12:$AF$12</c:f>
              <c:numCache>
                <c:formatCode>General</c:formatCode>
                <c:ptCount val="30"/>
              </c:numCache>
            </c:numRef>
          </c:val>
          <c:smooth val="0"/>
          <c:extLst>
            <c:ext xmlns:c16="http://schemas.microsoft.com/office/drawing/2014/chart" uri="{C3380CC4-5D6E-409C-BE32-E72D297353CC}">
              <c16:uniqueId val="{00000003-A869-4DB9-929E-96E018372484}"/>
            </c:ext>
          </c:extLst>
        </c:ser>
        <c:ser>
          <c:idx val="4"/>
          <c:order val="4"/>
          <c:tx>
            <c:strRef>
              <c:f>Wastewater!$B$13</c:f>
              <c:strCache>
                <c:ptCount val="1"/>
                <c:pt idx="0">
                  <c:v>Additional Methane Emissions</c:v>
                </c:pt>
              </c:strCache>
            </c:strRef>
          </c:tx>
          <c:spPr>
            <a:ln w="12700"/>
          </c:spPr>
          <c:marker>
            <c:spPr>
              <a:ln w="12700"/>
            </c:spPr>
          </c:marker>
          <c:val>
            <c:numRef>
              <c:f>Wastewater!$C$13:$AF$13</c:f>
              <c:numCache>
                <c:formatCode>General</c:formatCode>
                <c:ptCount val="30"/>
              </c:numCache>
            </c:numRef>
          </c:val>
          <c:smooth val="0"/>
          <c:extLst>
            <c:ext xmlns:c16="http://schemas.microsoft.com/office/drawing/2014/chart" uri="{C3380CC4-5D6E-409C-BE32-E72D297353CC}">
              <c16:uniqueId val="{00000001-12A0-4B28-9D83-904BE4A1D1E1}"/>
            </c:ext>
          </c:extLst>
        </c:ser>
        <c:dLbls>
          <c:showLegendKey val="0"/>
          <c:showVal val="0"/>
          <c:showCatName val="0"/>
          <c:showSerName val="0"/>
          <c:showPercent val="0"/>
          <c:showBubbleSize val="0"/>
        </c:dLbls>
        <c:marker val="1"/>
        <c:smooth val="0"/>
        <c:axId val="222194776"/>
        <c:axId val="222195168"/>
      </c:lineChart>
      <c:catAx>
        <c:axId val="222194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2195168"/>
        <c:crosses val="autoZero"/>
        <c:auto val="1"/>
        <c:lblAlgn val="ctr"/>
        <c:lblOffset val="100"/>
        <c:tickLblSkip val="1"/>
        <c:tickMarkSkip val="1"/>
        <c:noMultiLvlLbl val="0"/>
      </c:catAx>
      <c:valAx>
        <c:axId val="22219516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753285916629865E-3"/>
              <c:y val="0.40264174567464783"/>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2194776"/>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Gas'!$S$63</c:f>
          <c:strCache>
            <c:ptCount val="1"/>
            <c:pt idx="0">
              <c:v>GHG Emissions by Gas, 1990-2025</c:v>
            </c:pt>
          </c:strCache>
        </c:strRef>
      </c:tx>
      <c:layout>
        <c:manualLayout>
          <c:xMode val="edge"/>
          <c:yMode val="edge"/>
          <c:x val="0.34386420802513318"/>
          <c:y val="1.6393369518130623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7.8611890193382883E-2"/>
          <c:y val="0.20983606557377049"/>
          <c:w val="0.90559282194168456"/>
          <c:h val="0.59344262295081962"/>
        </c:manualLayout>
      </c:layout>
      <c:lineChart>
        <c:grouping val="standard"/>
        <c:varyColors val="0"/>
        <c:ser>
          <c:idx val="0"/>
          <c:order val="0"/>
          <c:tx>
            <c:strRef>
              <c:f>'Summary by Gas'!$B$5</c:f>
              <c:strCache>
                <c:ptCount val="1"/>
                <c:pt idx="0">
                  <c:v>Gross CO2</c:v>
                </c:pt>
              </c:strCache>
            </c:strRef>
          </c:tx>
          <c:spPr>
            <a:ln w="25400">
              <a:solidFill>
                <a:srgbClr val="0000FF"/>
              </a:solidFill>
              <a:prstDash val="solid"/>
            </a:ln>
          </c:spPr>
          <c:marker>
            <c:symbol val="none"/>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[0]!ChartRange_SummaryGas_Gross_CO2</c:f>
              <c:numCache>
                <c:formatCode>_(* #,##0.00_);_(* \(#,##0.00\);_(* "-"??_);_(@_)</c:formatCode>
                <c:ptCount val="36"/>
                <c:pt idx="0">
                  <c:v>195.50005716668815</c:v>
                </c:pt>
                <c:pt idx="1">
                  <c:v>194.69455611062193</c:v>
                </c:pt>
                <c:pt idx="2">
                  <c:v>191.27438341701807</c:v>
                </c:pt>
                <c:pt idx="3">
                  <c:v>206.78504022344228</c:v>
                </c:pt>
                <c:pt idx="4">
                  <c:v>208.54734478378677</c:v>
                </c:pt>
                <c:pt idx="5">
                  <c:v>212.57157472831378</c:v>
                </c:pt>
                <c:pt idx="6">
                  <c:v>226.83318257847313</c:v>
                </c:pt>
                <c:pt idx="7">
                  <c:v>235.75749517688888</c:v>
                </c:pt>
                <c:pt idx="8">
                  <c:v>227.01491954785266</c:v>
                </c:pt>
                <c:pt idx="9">
                  <c:v>237.54189584625789</c:v>
                </c:pt>
                <c:pt idx="10">
                  <c:v>243.40207202268584</c:v>
                </c:pt>
                <c:pt idx="11">
                  <c:v>235.4058732946537</c:v>
                </c:pt>
                <c:pt idx="12">
                  <c:v>240.21232205894179</c:v>
                </c:pt>
                <c:pt idx="13">
                  <c:v>244.38274187201586</c:v>
                </c:pt>
                <c:pt idx="14">
                  <c:v>248.47092359346667</c:v>
                </c:pt>
                <c:pt idx="15">
                  <c:v>253.67619923659032</c:v>
                </c:pt>
                <c:pt idx="16">
                  <c:v>245.89294191566481</c:v>
                </c:pt>
                <c:pt idx="17">
                  <c:v>252.29275642366818</c:v>
                </c:pt>
                <c:pt idx="18">
                  <c:v>250.65544710217188</c:v>
                </c:pt>
                <c:pt idx="19">
                  <c:v>232.34344149335536</c:v>
                </c:pt>
                <c:pt idx="20">
                  <c:v>238.7599116310995</c:v>
                </c:pt>
                <c:pt idx="21">
                  <c:v>235.32733255979278</c:v>
                </c:pt>
                <c:pt idx="22">
                  <c:v>221.95519375009638</c:v>
                </c:pt>
                <c:pt idx="23">
                  <c:v>236.20454206572268</c:v>
                </c:pt>
                <c:pt idx="24">
                  <c:v>239.23467640283135</c:v>
                </c:pt>
                <c:pt idx="25">
                  <c:v>223.33016968709853</c:v>
                </c:pt>
                <c:pt idx="26">
                  <c:v>211.17893437613179</c:v>
                </c:pt>
                <c:pt idx="27">
                  <c:v>208.93754429578001</c:v>
                </c:pt>
                <c:pt idx="28">
                  <c:v>215.54370377293691</c:v>
                </c:pt>
                <c:pt idx="29">
                  <c:v>206.34852385207014</c:v>
                </c:pt>
                <c:pt idx="30">
                  <c:v>174.90765204441078</c:v>
                </c:pt>
                <c:pt idx="31">
                  <c:v>0.57498368046821979</c:v>
                </c:pt>
                <c:pt idx="32">
                  <c:v>0</c:v>
                </c:pt>
                <c:pt idx="33">
                  <c:v>0</c:v>
                </c:pt>
                <c:pt idx="34">
                  <c:v>0</c:v>
                </c:pt>
                <c:pt idx="35">
                  <c:v>0</c:v>
                </c:pt>
              </c:numCache>
            </c:numRef>
          </c:val>
          <c:smooth val="0"/>
          <c:extLst>
            <c:ext xmlns:c16="http://schemas.microsoft.com/office/drawing/2014/chart" uri="{C3380CC4-5D6E-409C-BE32-E72D297353CC}">
              <c16:uniqueId val="{00000000-FFB7-4C59-BF60-9A678E968613}"/>
            </c:ext>
          </c:extLst>
        </c:ser>
        <c:ser>
          <c:idx val="4"/>
          <c:order val="1"/>
          <c:tx>
            <c:strRef>
              <c:f>'Summary by Gas'!$B$12</c:f>
              <c:strCache>
                <c:ptCount val="1"/>
                <c:pt idx="0">
                  <c:v>CH4</c:v>
                </c:pt>
              </c:strCache>
            </c:strRef>
          </c:tx>
          <c:spPr>
            <a:ln w="25400">
              <a:solidFill>
                <a:srgbClr val="008000"/>
              </a:solidFill>
              <a:prstDash val="solid"/>
            </a:ln>
          </c:spPr>
          <c:marker>
            <c:symbol val="none"/>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c:f>
              <c:numCache>
                <c:formatCode>_(* #,##0.00_);_(* \(#,##0.00\);_(* "-"??_);_(@_)</c:formatCode>
                <c:ptCount val="36"/>
                <c:pt idx="0">
                  <c:v>23.240449519803914</c:v>
                </c:pt>
                <c:pt idx="1">
                  <c:v>23.860557976079079</c:v>
                </c:pt>
                <c:pt idx="2">
                  <c:v>24.379782856029831</c:v>
                </c:pt>
                <c:pt idx="3">
                  <c:v>23.283181568423259</c:v>
                </c:pt>
                <c:pt idx="4">
                  <c:v>24.554536459376273</c:v>
                </c:pt>
                <c:pt idx="5">
                  <c:v>24.846302565228466</c:v>
                </c:pt>
                <c:pt idx="6">
                  <c:v>24.226866586093347</c:v>
                </c:pt>
                <c:pt idx="7">
                  <c:v>23.218324414668675</c:v>
                </c:pt>
                <c:pt idx="8">
                  <c:v>21.742543517003174</c:v>
                </c:pt>
                <c:pt idx="9">
                  <c:v>21.133680358870919</c:v>
                </c:pt>
                <c:pt idx="10">
                  <c:v>20.404477582939322</c:v>
                </c:pt>
                <c:pt idx="11">
                  <c:v>13.790912749214272</c:v>
                </c:pt>
                <c:pt idx="12">
                  <c:v>15.367483125276433</c:v>
                </c:pt>
                <c:pt idx="13">
                  <c:v>16.971239872712719</c:v>
                </c:pt>
                <c:pt idx="14">
                  <c:v>17.742128951789415</c:v>
                </c:pt>
                <c:pt idx="15">
                  <c:v>19.549103191288989</c:v>
                </c:pt>
                <c:pt idx="16">
                  <c:v>21.021448547423407</c:v>
                </c:pt>
                <c:pt idx="17">
                  <c:v>20.704903083487039</c:v>
                </c:pt>
                <c:pt idx="18">
                  <c:v>22.153312953925713</c:v>
                </c:pt>
                <c:pt idx="19">
                  <c:v>20.960409218335379</c:v>
                </c:pt>
                <c:pt idx="20">
                  <c:v>25.421663287971064</c:v>
                </c:pt>
                <c:pt idx="21">
                  <c:v>24.451230673511738</c:v>
                </c:pt>
                <c:pt idx="22">
                  <c:v>24.029535204308502</c:v>
                </c:pt>
                <c:pt idx="23">
                  <c:v>22.707633322013095</c:v>
                </c:pt>
                <c:pt idx="24">
                  <c:v>22.856394825265358</c:v>
                </c:pt>
                <c:pt idx="25">
                  <c:v>23.490442094792872</c:v>
                </c:pt>
                <c:pt idx="26">
                  <c:v>24.20033552617625</c:v>
                </c:pt>
                <c:pt idx="27">
                  <c:v>23.483439616633845</c:v>
                </c:pt>
                <c:pt idx="28">
                  <c:v>21.934492345869572</c:v>
                </c:pt>
                <c:pt idx="29">
                  <c:v>19.800405849079745</c:v>
                </c:pt>
                <c:pt idx="30">
                  <c:v>17.797782934988305</c:v>
                </c:pt>
                <c:pt idx="31">
                  <c:v>8.8246465356158375</c:v>
                </c:pt>
                <c:pt idx="32">
                  <c:v>4.1506728251231495</c:v>
                </c:pt>
                <c:pt idx="33">
                  <c:v>0.32827812681537971</c:v>
                </c:pt>
                <c:pt idx="34">
                  <c:v>0.32270198347361084</c:v>
                </c:pt>
                <c:pt idx="35">
                  <c:v>0.31748190045141383</c:v>
                </c:pt>
              </c:numCache>
            </c:numRef>
          </c:val>
          <c:smooth val="0"/>
          <c:extLst>
            <c:ext xmlns:c16="http://schemas.microsoft.com/office/drawing/2014/chart" uri="{C3380CC4-5D6E-409C-BE32-E72D297353CC}">
              <c16:uniqueId val="{00000001-FFB7-4C59-BF60-9A678E968613}"/>
            </c:ext>
          </c:extLst>
        </c:ser>
        <c:ser>
          <c:idx val="15"/>
          <c:order val="2"/>
          <c:tx>
            <c:strRef>
              <c:f>'Summary by Gas'!$B$21</c:f>
              <c:strCache>
                <c:ptCount val="1"/>
                <c:pt idx="0">
                  <c:v>N2O</c:v>
                </c:pt>
              </c:strCache>
            </c:strRef>
          </c:tx>
          <c:spPr>
            <a:ln w="25400">
              <a:solidFill>
                <a:srgbClr val="FFCC00"/>
              </a:solidFill>
              <a:prstDash val="solid"/>
            </a:ln>
          </c:spPr>
          <c:marker>
            <c:symbol val="none"/>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c:f>
              <c:numCache>
                <c:formatCode>_(* #,##0.00_);_(* \(#,##0.00\);_(* "-"??_);_(@_)</c:formatCode>
                <c:ptCount val="36"/>
                <c:pt idx="0">
                  <c:v>25.677960705455835</c:v>
                </c:pt>
                <c:pt idx="1">
                  <c:v>24.436301333525979</c:v>
                </c:pt>
                <c:pt idx="2">
                  <c:v>25.219671356386385</c:v>
                </c:pt>
                <c:pt idx="3">
                  <c:v>26.928085092034539</c:v>
                </c:pt>
                <c:pt idx="4">
                  <c:v>26.001311528613261</c:v>
                </c:pt>
                <c:pt idx="5">
                  <c:v>24.859156572513694</c:v>
                </c:pt>
                <c:pt idx="6">
                  <c:v>26.027555402278509</c:v>
                </c:pt>
                <c:pt idx="7">
                  <c:v>24.7644279896287</c:v>
                </c:pt>
                <c:pt idx="8">
                  <c:v>25.59039968589288</c:v>
                </c:pt>
                <c:pt idx="9">
                  <c:v>25.034704342402058</c:v>
                </c:pt>
                <c:pt idx="10">
                  <c:v>24.538326262309955</c:v>
                </c:pt>
                <c:pt idx="11">
                  <c:v>25.336581689068467</c:v>
                </c:pt>
                <c:pt idx="12">
                  <c:v>24.523589894945605</c:v>
                </c:pt>
                <c:pt idx="13">
                  <c:v>23.661534317940163</c:v>
                </c:pt>
                <c:pt idx="14">
                  <c:v>25.676216238198769</c:v>
                </c:pt>
                <c:pt idx="15">
                  <c:v>23.546224547387638</c:v>
                </c:pt>
                <c:pt idx="16">
                  <c:v>24.549579171430551</c:v>
                </c:pt>
                <c:pt idx="17">
                  <c:v>23.701484897980603</c:v>
                </c:pt>
                <c:pt idx="18">
                  <c:v>24.726353755789546</c:v>
                </c:pt>
                <c:pt idx="19">
                  <c:v>23.127604340190356</c:v>
                </c:pt>
                <c:pt idx="20">
                  <c:v>23.142279049620598</c:v>
                </c:pt>
                <c:pt idx="21">
                  <c:v>24.078967156892332</c:v>
                </c:pt>
                <c:pt idx="22">
                  <c:v>21.944254498935994</c:v>
                </c:pt>
                <c:pt idx="23">
                  <c:v>25.671304425199654</c:v>
                </c:pt>
                <c:pt idx="24">
                  <c:v>27.125013264884998</c:v>
                </c:pt>
                <c:pt idx="25">
                  <c:v>25.647345162986785</c:v>
                </c:pt>
                <c:pt idx="26">
                  <c:v>24.784243009684641</c:v>
                </c:pt>
                <c:pt idx="27">
                  <c:v>25.81283257444499</c:v>
                </c:pt>
                <c:pt idx="28">
                  <c:v>28.000567508527592</c:v>
                </c:pt>
                <c:pt idx="29">
                  <c:v>25.559099262734559</c:v>
                </c:pt>
                <c:pt idx="30">
                  <c:v>24.517993323289822</c:v>
                </c:pt>
                <c:pt idx="31">
                  <c:v>21.997690040529505</c:v>
                </c:pt>
                <c:pt idx="32">
                  <c:v>0</c:v>
                </c:pt>
                <c:pt idx="33">
                  <c:v>0</c:v>
                </c:pt>
                <c:pt idx="34">
                  <c:v>0</c:v>
                </c:pt>
                <c:pt idx="35">
                  <c:v>0</c:v>
                </c:pt>
              </c:numCache>
            </c:numRef>
          </c:val>
          <c:smooth val="0"/>
          <c:extLst>
            <c:ext xmlns:c16="http://schemas.microsoft.com/office/drawing/2014/chart" uri="{C3380CC4-5D6E-409C-BE32-E72D297353CC}">
              <c16:uniqueId val="{00000002-FFB7-4C59-BF60-9A678E968613}"/>
            </c:ext>
          </c:extLst>
        </c:ser>
        <c:ser>
          <c:idx val="24"/>
          <c:order val="3"/>
          <c:tx>
            <c:strRef>
              <c:f>'Summary by Gas'!$B$29</c:f>
              <c:strCache>
                <c:ptCount val="1"/>
                <c:pt idx="0">
                  <c:v>HFC, PFC, SF6 and NF3 Emissions</c:v>
                </c:pt>
              </c:strCache>
            </c:strRef>
          </c:tx>
          <c:spPr>
            <a:ln w="25400">
              <a:solidFill>
                <a:srgbClr val="FFFF00"/>
              </a:solidFill>
              <a:prstDash val="solid"/>
            </a:ln>
          </c:spPr>
          <c:marker>
            <c:symbol val="none"/>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[0]!ChartRange_SummaryGas_HFC__PFC__and_SF6</c:f>
              <c:numCache>
                <c:formatCode>_(* #,##0.00_);_(* \(#,##0.00\);_(* "-"??_);_(@_)</c:formatCode>
                <c:ptCount val="36"/>
                <c:pt idx="0">
                  <c:v>0.99394540829774081</c:v>
                </c:pt>
                <c:pt idx="1">
                  <c:v>0.99067246048659274</c:v>
                </c:pt>
                <c:pt idx="2">
                  <c:v>1.0099566154143986</c:v>
                </c:pt>
                <c:pt idx="3">
                  <c:v>1.1969466250931935</c:v>
                </c:pt>
                <c:pt idx="4">
                  <c:v>1.5700507714815326</c:v>
                </c:pt>
                <c:pt idx="5">
                  <c:v>2.3497105439309989</c:v>
                </c:pt>
                <c:pt idx="6">
                  <c:v>2.8611911731790185</c:v>
                </c:pt>
                <c:pt idx="7">
                  <c:v>3.3665966790034254</c:v>
                </c:pt>
                <c:pt idx="8">
                  <c:v>3.682186184405511</c:v>
                </c:pt>
                <c:pt idx="9">
                  <c:v>4.1256067726448249</c:v>
                </c:pt>
                <c:pt idx="10">
                  <c:v>4.4423809976349107</c:v>
                </c:pt>
                <c:pt idx="11">
                  <c:v>4.7560250800276007</c:v>
                </c:pt>
                <c:pt idx="12">
                  <c:v>4.9442431666068689</c:v>
                </c:pt>
                <c:pt idx="13">
                  <c:v>5.0829174693225934</c:v>
                </c:pt>
                <c:pt idx="14">
                  <c:v>5.2116235564449029</c:v>
                </c:pt>
                <c:pt idx="15">
                  <c:v>5.3589716549770712</c:v>
                </c:pt>
                <c:pt idx="16">
                  <c:v>5.5743062798414718</c:v>
                </c:pt>
                <c:pt idx="17">
                  <c:v>5.8586265258187833</c:v>
                </c:pt>
                <c:pt idx="18">
                  <c:v>6.2221682781912824</c:v>
                </c:pt>
                <c:pt idx="19">
                  <c:v>5.4575487892822565</c:v>
                </c:pt>
                <c:pt idx="20">
                  <c:v>6.9126058429003772</c:v>
                </c:pt>
                <c:pt idx="21">
                  <c:v>6.7800999295717288</c:v>
                </c:pt>
                <c:pt idx="22">
                  <c:v>7.2211791862668795</c:v>
                </c:pt>
                <c:pt idx="23">
                  <c:v>6.4522805204107803</c:v>
                </c:pt>
                <c:pt idx="24">
                  <c:v>6.2057614521048308</c:v>
                </c:pt>
                <c:pt idx="25">
                  <c:v>6.2705355197389823</c:v>
                </c:pt>
                <c:pt idx="26">
                  <c:v>6.2518994634456231</c:v>
                </c:pt>
                <c:pt idx="27">
                  <c:v>6.1685684270592613</c:v>
                </c:pt>
                <c:pt idx="28">
                  <c:v>6.1408654239072247</c:v>
                </c:pt>
                <c:pt idx="29">
                  <c:v>6.2303038335552499</c:v>
                </c:pt>
                <c:pt idx="30">
                  <c:v>6.2796792521486804</c:v>
                </c:pt>
                <c:pt idx="31">
                  <c:v>0</c:v>
                </c:pt>
                <c:pt idx="32">
                  <c:v>0</c:v>
                </c:pt>
                <c:pt idx="33">
                  <c:v>0</c:v>
                </c:pt>
                <c:pt idx="34">
                  <c:v>0</c:v>
                </c:pt>
                <c:pt idx="35">
                  <c:v>0</c:v>
                </c:pt>
              </c:numCache>
            </c:numRef>
          </c:val>
          <c:smooth val="0"/>
          <c:extLst>
            <c:ext xmlns:c16="http://schemas.microsoft.com/office/drawing/2014/chart" uri="{C3380CC4-5D6E-409C-BE32-E72D297353CC}">
              <c16:uniqueId val="{00000003-FFB7-4C59-BF60-9A678E968613}"/>
            </c:ext>
          </c:extLst>
        </c:ser>
        <c:dLbls>
          <c:showLegendKey val="0"/>
          <c:showVal val="0"/>
          <c:showCatName val="0"/>
          <c:showSerName val="0"/>
          <c:showPercent val="0"/>
          <c:showBubbleSize val="0"/>
        </c:dLbls>
        <c:smooth val="0"/>
        <c:axId val="221840336"/>
        <c:axId val="221840728"/>
      </c:lineChart>
      <c:catAx>
        <c:axId val="221840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840728"/>
        <c:crosses val="autoZero"/>
        <c:auto val="1"/>
        <c:lblAlgn val="ctr"/>
        <c:lblOffset val="100"/>
        <c:tickLblSkip val="1"/>
        <c:tickMarkSkip val="1"/>
        <c:noMultiLvlLbl val="0"/>
      </c:catAx>
      <c:valAx>
        <c:axId val="22184072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753946949813091E-3"/>
              <c:y val="0.39344277960400587"/>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840336"/>
        <c:crosses val="autoZero"/>
        <c:crossBetween val="between"/>
      </c:valAx>
      <c:spPr>
        <a:solidFill>
          <a:srgbClr val="FFFFFF"/>
        </a:solidFill>
        <a:ln w="12700">
          <a:solidFill>
            <a:srgbClr val="808080"/>
          </a:solidFill>
          <a:prstDash val="solid"/>
        </a:ln>
      </c:spPr>
    </c:plotArea>
    <c:legend>
      <c:legendPos val="r"/>
      <c:layout>
        <c:manualLayout>
          <c:xMode val="edge"/>
          <c:yMode val="edge"/>
          <c:x val="4.1892964067744988E-2"/>
          <c:y val="0.12896445858938929"/>
          <c:w val="0.93095475706099973"/>
          <c:h val="7.3996000829977468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Gas'!$S$64</c:f>
          <c:strCache>
            <c:ptCount val="1"/>
            <c:pt idx="0">
              <c:v>Carbon Dioxide Emissions by Source, 1990-2025</c:v>
            </c:pt>
          </c:strCache>
        </c:strRef>
      </c:tx>
      <c:layout>
        <c:manualLayout>
          <c:xMode val="edge"/>
          <c:yMode val="edge"/>
          <c:x val="0.32598322936905616"/>
          <c:y val="3.3807378881133311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8.1811453896131842E-2"/>
          <c:y val="0.2450988214193392"/>
          <c:w val="0.8853430206470092"/>
          <c:h val="0.56695728849218008"/>
        </c:manualLayout>
      </c:layout>
      <c:lineChart>
        <c:grouping val="standard"/>
        <c:varyColors val="0"/>
        <c:ser>
          <c:idx val="0"/>
          <c:order val="0"/>
          <c:tx>
            <c:strRef>
              <c:f>'Summary by Gas'!$B$153</c:f>
              <c:strCache>
                <c:ptCount val="1"/>
                <c:pt idx="0">
                  <c:v>CO2 from Fossil Fuel Combustion</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[0]!ChartRange_SummaryGas_CO2_from_Fossil_Fuel_Combustion</c:f>
              <c:numCache>
                <c:formatCode>_(* #,##0.00_);_(* \(#,##0.00\);_(* "-"??_);_(@_)</c:formatCode>
                <c:ptCount val="36"/>
                <c:pt idx="0">
                  <c:v>192.00128729933954</c:v>
                </c:pt>
                <c:pt idx="1">
                  <c:v>191.43093412637785</c:v>
                </c:pt>
                <c:pt idx="2">
                  <c:v>187.93123456511</c:v>
                </c:pt>
                <c:pt idx="3">
                  <c:v>203.43038709246647</c:v>
                </c:pt>
                <c:pt idx="4">
                  <c:v>204.86631679901208</c:v>
                </c:pt>
                <c:pt idx="5">
                  <c:v>208.53515903901743</c:v>
                </c:pt>
                <c:pt idx="6">
                  <c:v>222.75236282629331</c:v>
                </c:pt>
                <c:pt idx="7">
                  <c:v>225.30127628504704</c:v>
                </c:pt>
                <c:pt idx="8">
                  <c:v>217.01625196922168</c:v>
                </c:pt>
                <c:pt idx="9">
                  <c:v>227.92539211045872</c:v>
                </c:pt>
                <c:pt idx="10">
                  <c:v>234.6341139895847</c:v>
                </c:pt>
                <c:pt idx="11">
                  <c:v>227.55289721865566</c:v>
                </c:pt>
                <c:pt idx="12">
                  <c:v>231.65041771571984</c:v>
                </c:pt>
                <c:pt idx="13">
                  <c:v>235.38947204236041</c:v>
                </c:pt>
                <c:pt idx="14">
                  <c:v>241.11804559717348</c:v>
                </c:pt>
                <c:pt idx="15">
                  <c:v>246.38239316560768</c:v>
                </c:pt>
                <c:pt idx="16">
                  <c:v>238.7279405930035</c:v>
                </c:pt>
                <c:pt idx="17">
                  <c:v>245.20844218097554</c:v>
                </c:pt>
                <c:pt idx="18">
                  <c:v>244.56038926326252</c:v>
                </c:pt>
                <c:pt idx="19">
                  <c:v>229.37762040436894</c:v>
                </c:pt>
                <c:pt idx="20">
                  <c:v>233.57691777684082</c:v>
                </c:pt>
                <c:pt idx="21">
                  <c:v>230.45962255370188</c:v>
                </c:pt>
                <c:pt idx="22">
                  <c:v>216.96860866655291</c:v>
                </c:pt>
                <c:pt idx="23">
                  <c:v>231.20349691744337</c:v>
                </c:pt>
                <c:pt idx="24">
                  <c:v>234.14997267252511</c:v>
                </c:pt>
                <c:pt idx="25">
                  <c:v>218.09520668975716</c:v>
                </c:pt>
                <c:pt idx="26">
                  <c:v>206.15679152127825</c:v>
                </c:pt>
                <c:pt idx="27">
                  <c:v>204.11774148220354</c:v>
                </c:pt>
                <c:pt idx="28">
                  <c:v>211.06744965905455</c:v>
                </c:pt>
                <c:pt idx="29">
                  <c:v>201.84714769526832</c:v>
                </c:pt>
                <c:pt idx="30">
                  <c:v>170.2766049694882</c:v>
                </c:pt>
                <c:pt idx="31">
                  <c:v>0</c:v>
                </c:pt>
                <c:pt idx="32">
                  <c:v>0</c:v>
                </c:pt>
                <c:pt idx="33">
                  <c:v>0</c:v>
                </c:pt>
                <c:pt idx="34">
                  <c:v>0</c:v>
                </c:pt>
                <c:pt idx="35">
                  <c:v>0</c:v>
                </c:pt>
              </c:numCache>
            </c:numRef>
          </c:val>
          <c:smooth val="0"/>
          <c:extLst>
            <c:ext xmlns:c16="http://schemas.microsoft.com/office/drawing/2014/chart" uri="{C3380CC4-5D6E-409C-BE32-E72D297353CC}">
              <c16:uniqueId val="{00000000-93CD-4EAB-87D8-22C550DAFD4F}"/>
            </c:ext>
          </c:extLst>
        </c:ser>
        <c:ser>
          <c:idx val="1"/>
          <c:order val="1"/>
          <c:tx>
            <c:strRef>
              <c:f>'Summary by Gas'!$B$154</c:f>
              <c:strCache>
                <c:ptCount val="1"/>
                <c:pt idx="0">
                  <c:v>Industrial Processes</c:v>
                </c:pt>
              </c:strCache>
            </c:strRef>
          </c:tx>
          <c:spPr>
            <a:ln w="12700">
              <a:solidFill>
                <a:srgbClr val="800080"/>
              </a:solidFill>
              <a:prstDash val="solid"/>
            </a:ln>
          </c:spPr>
          <c:marker>
            <c:symbol val="square"/>
            <c:size val="5"/>
            <c:spPr>
              <a:solidFill>
                <a:srgbClr val="800080"/>
              </a:solidFill>
              <a:ln>
                <a:solidFill>
                  <a:srgbClr val="800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[0]!ChartRange_SummaryGas_Industrial_Processes</c:f>
              <c:numCache>
                <c:formatCode>_(* #,##0.00_);_(* \(#,##0.00\);_(* "-"??_);_(@_)</c:formatCode>
                <c:ptCount val="36"/>
                <c:pt idx="0">
                  <c:v>2.4439372797783263</c:v>
                </c:pt>
                <c:pt idx="1">
                  <c:v>2.3321915418258845</c:v>
                </c:pt>
                <c:pt idx="2">
                  <c:v>2.4027099347448133</c:v>
                </c:pt>
                <c:pt idx="3">
                  <c:v>2.5307519266305079</c:v>
                </c:pt>
                <c:pt idx="4">
                  <c:v>2.8849831880176464</c:v>
                </c:pt>
                <c:pt idx="5">
                  <c:v>3.0963168184900245</c:v>
                </c:pt>
                <c:pt idx="6">
                  <c:v>3.1569677002062475</c:v>
                </c:pt>
                <c:pt idx="7">
                  <c:v>9.6565326705081258</c:v>
                </c:pt>
                <c:pt idx="8">
                  <c:v>9.1476211055159329</c:v>
                </c:pt>
                <c:pt idx="9">
                  <c:v>8.7974562363590501</c:v>
                </c:pt>
                <c:pt idx="10">
                  <c:v>8.0938591653350915</c:v>
                </c:pt>
                <c:pt idx="11">
                  <c:v>7.0121129706795307</c:v>
                </c:pt>
                <c:pt idx="12">
                  <c:v>7.9741158488767123</c:v>
                </c:pt>
                <c:pt idx="13">
                  <c:v>8.2554085080743285</c:v>
                </c:pt>
                <c:pt idx="14">
                  <c:v>6.4760400690624111</c:v>
                </c:pt>
                <c:pt idx="15">
                  <c:v>6.4116264532705465</c:v>
                </c:pt>
                <c:pt idx="16">
                  <c:v>6.4451704433646526</c:v>
                </c:pt>
                <c:pt idx="17">
                  <c:v>6.1215796649381122</c:v>
                </c:pt>
                <c:pt idx="18">
                  <c:v>5.5641772346790725</c:v>
                </c:pt>
                <c:pt idx="19">
                  <c:v>2.907355399428226</c:v>
                </c:pt>
                <c:pt idx="20">
                  <c:v>4.3995695378062338</c:v>
                </c:pt>
                <c:pt idx="21">
                  <c:v>4.2645258818669598</c:v>
                </c:pt>
                <c:pt idx="22">
                  <c:v>3.9550567020898977</c:v>
                </c:pt>
                <c:pt idx="23">
                  <c:v>4.2625113044092231</c:v>
                </c:pt>
                <c:pt idx="24">
                  <c:v>4.3995612047164574</c:v>
                </c:pt>
                <c:pt idx="25">
                  <c:v>4.5176203150697436</c:v>
                </c:pt>
                <c:pt idx="26">
                  <c:v>4.4295105062261024</c:v>
                </c:pt>
                <c:pt idx="27">
                  <c:v>4.1283715561686254</c:v>
                </c:pt>
                <c:pt idx="28">
                  <c:v>3.8642555394974463</c:v>
                </c:pt>
                <c:pt idx="29">
                  <c:v>4.1523182720898513</c:v>
                </c:pt>
                <c:pt idx="30">
                  <c:v>4.1973627698094269</c:v>
                </c:pt>
                <c:pt idx="31">
                  <c:v>0</c:v>
                </c:pt>
                <c:pt idx="32">
                  <c:v>0</c:v>
                </c:pt>
                <c:pt idx="33">
                  <c:v>0</c:v>
                </c:pt>
                <c:pt idx="34">
                  <c:v>0</c:v>
                </c:pt>
                <c:pt idx="35">
                  <c:v>0</c:v>
                </c:pt>
              </c:numCache>
            </c:numRef>
          </c:val>
          <c:smooth val="0"/>
          <c:extLst>
            <c:ext xmlns:c16="http://schemas.microsoft.com/office/drawing/2014/chart" uri="{C3380CC4-5D6E-409C-BE32-E72D297353CC}">
              <c16:uniqueId val="{00000001-93CD-4EAB-87D8-22C550DAFD4F}"/>
            </c:ext>
          </c:extLst>
        </c:ser>
        <c:ser>
          <c:idx val="2"/>
          <c:order val="2"/>
          <c:tx>
            <c:strRef>
              <c:f>'Summary by Gas'!$B$155</c:f>
              <c:strCache>
                <c:ptCount val="1"/>
                <c:pt idx="0">
                  <c:v>Waste</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[0]!ChartRange_SummaryGas_Waste</c:f>
              <c:numCache>
                <c:formatCode>_(* #,##0.00_);_(* \(#,##0.00\);_(* "-"??_);_(@_)</c:formatCode>
                <c:ptCount val="36"/>
                <c:pt idx="0">
                  <c:v>9.7396116923478854E-2</c:v>
                </c:pt>
                <c:pt idx="1">
                  <c:v>0.12084007285876185</c:v>
                </c:pt>
                <c:pt idx="2">
                  <c:v>0.11485480727145558</c:v>
                </c:pt>
                <c:pt idx="3">
                  <c:v>0.12841266331608381</c:v>
                </c:pt>
                <c:pt idx="4">
                  <c:v>0.13014074264596626</c:v>
                </c:pt>
                <c:pt idx="5">
                  <c:v>6.2310373750787761E-2</c:v>
                </c:pt>
                <c:pt idx="6">
                  <c:v>6.3155450959526765E-2</c:v>
                </c:pt>
                <c:pt idx="7">
                  <c:v>0</c:v>
                </c:pt>
                <c:pt idx="8">
                  <c:v>6.5409947883470501E-2</c:v>
                </c:pt>
                <c:pt idx="9">
                  <c:v>0.13872181177278833</c:v>
                </c:pt>
                <c:pt idx="10">
                  <c:v>8.0985810664499586E-2</c:v>
                </c:pt>
                <c:pt idx="11">
                  <c:v>4.2322065294592204E-2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2-93CD-4EAB-87D8-22C550DAFD4F}"/>
            </c:ext>
          </c:extLst>
        </c:ser>
        <c:ser>
          <c:idx val="4"/>
          <c:order val="3"/>
          <c:tx>
            <c:strRef>
              <c:f>'Summary by Gas'!$B$10</c:f>
              <c:strCache>
                <c:ptCount val="1"/>
                <c:pt idx="0">
                  <c:v>Agriculture</c:v>
                </c:pt>
              </c:strCache>
            </c:strRef>
          </c:tx>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[0]!ChartRange_SummaryGas_Agriculture</c:f>
              <c:numCache>
                <c:formatCode>_(* #,##0.00_);_(* \(#,##0.00\);_(* "-"??_);_(@_)</c:formatCode>
                <c:ptCount val="36"/>
                <c:pt idx="0">
                  <c:v>0.95743647064679371</c:v>
                </c:pt>
                <c:pt idx="1">
                  <c:v>0.81059036955942987</c:v>
                </c:pt>
                <c:pt idx="2">
                  <c:v>0.82558410989180331</c:v>
                </c:pt>
                <c:pt idx="3">
                  <c:v>0.69548854102922608</c:v>
                </c:pt>
                <c:pt idx="4">
                  <c:v>0.66590405411104925</c:v>
                </c:pt>
                <c:pt idx="5">
                  <c:v>0.87778849705551754</c:v>
                </c:pt>
                <c:pt idx="6">
                  <c:v>0.86069660101405288</c:v>
                </c:pt>
                <c:pt idx="7">
                  <c:v>0.79968622133373524</c:v>
                </c:pt>
                <c:pt idx="8">
                  <c:v>0.78563652523158656</c:v>
                </c:pt>
                <c:pt idx="9">
                  <c:v>0.68032568766733903</c:v>
                </c:pt>
                <c:pt idx="10">
                  <c:v>0.59311305710156259</c:v>
                </c:pt>
                <c:pt idx="11">
                  <c:v>0.7985410400238937</c:v>
                </c:pt>
                <c:pt idx="12">
                  <c:v>0.58778849434523761</c:v>
                </c:pt>
                <c:pt idx="13">
                  <c:v>0.73786132158109563</c:v>
                </c:pt>
                <c:pt idx="14">
                  <c:v>0.87683792723078935</c:v>
                </c:pt>
                <c:pt idx="15">
                  <c:v>0.88217961771209774</c:v>
                </c:pt>
                <c:pt idx="16">
                  <c:v>0.7198308792966559</c:v>
                </c:pt>
                <c:pt idx="17">
                  <c:v>0.96273457775451921</c:v>
                </c:pt>
                <c:pt idx="18">
                  <c:v>0.5308806042302664</c:v>
                </c:pt>
                <c:pt idx="19">
                  <c:v>5.8465689558196504E-2</c:v>
                </c:pt>
                <c:pt idx="20">
                  <c:v>0.78342431645246691</c:v>
                </c:pt>
                <c:pt idx="21">
                  <c:v>0.60318412422392609</c:v>
                </c:pt>
                <c:pt idx="22">
                  <c:v>1.0315283814535565</c:v>
                </c:pt>
                <c:pt idx="23">
                  <c:v>0.73853384387007093</c:v>
                </c:pt>
                <c:pt idx="24">
                  <c:v>0.68514252558978384</c:v>
                </c:pt>
                <c:pt idx="25">
                  <c:v>0.71734268227163445</c:v>
                </c:pt>
                <c:pt idx="26">
                  <c:v>0.5926323486274272</c:v>
                </c:pt>
                <c:pt idx="27">
                  <c:v>0.69143125740784439</c:v>
                </c:pt>
                <c:pt idx="28">
                  <c:v>0.61199857438492034</c:v>
                </c:pt>
                <c:pt idx="29">
                  <c:v>0.34905788471197441</c:v>
                </c:pt>
                <c:pt idx="30">
                  <c:v>0.43368430511316203</c:v>
                </c:pt>
                <c:pt idx="31">
                  <c:v>0.57498368046821979</c:v>
                </c:pt>
                <c:pt idx="32">
                  <c:v>0</c:v>
                </c:pt>
                <c:pt idx="33">
                  <c:v>0</c:v>
                </c:pt>
                <c:pt idx="34">
                  <c:v>0</c:v>
                </c:pt>
                <c:pt idx="35">
                  <c:v>0</c:v>
                </c:pt>
              </c:numCache>
            </c:numRef>
          </c:val>
          <c:smooth val="0"/>
          <c:extLst>
            <c:ext xmlns:c16="http://schemas.microsoft.com/office/drawing/2014/chart" uri="{C3380CC4-5D6E-409C-BE32-E72D297353CC}">
              <c16:uniqueId val="{00000003-6507-4790-9714-FAA06630BA16}"/>
            </c:ext>
          </c:extLst>
        </c:ser>
        <c:ser>
          <c:idx val="3"/>
          <c:order val="4"/>
          <c:tx>
            <c:strRef>
              <c:f>'Summary by Gas'!$B$156</c:f>
              <c:strCache>
                <c:ptCount val="1"/>
                <c:pt idx="0">
                  <c:v>LULUCF</c:v>
                </c:pt>
              </c:strCache>
            </c:strRef>
          </c:tx>
          <c:spPr>
            <a:ln w="12700">
              <a:solidFill>
                <a:srgbClr val="008000"/>
              </a:solidFill>
              <a:prstDash val="solid"/>
            </a:ln>
          </c:spPr>
          <c:marker>
            <c:symbol val="x"/>
            <c:size val="5"/>
            <c:spPr>
              <a:noFill/>
              <a:ln>
                <a:solidFill>
                  <a:srgbClr val="0080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[0]!ChartRange_SummaryGas_LULUCF</c:f>
              <c:numCache>
                <c:formatCode>_(* #,##0.00_);_(* \(#,##0.00\);_(* "-"??_);_(@_)</c:formatCode>
                <c:ptCount val="36"/>
                <c:pt idx="0">
                  <c:v>-14.05246888592594</c:v>
                </c:pt>
                <c:pt idx="1">
                  <c:v>-15.516528242930031</c:v>
                </c:pt>
                <c:pt idx="2">
                  <c:v>-13.346627866860974</c:v>
                </c:pt>
                <c:pt idx="3">
                  <c:v>-10.351301145721379</c:v>
                </c:pt>
                <c:pt idx="4">
                  <c:v>-14.477478336705923</c:v>
                </c:pt>
                <c:pt idx="5">
                  <c:v>-11.545531457473233</c:v>
                </c:pt>
                <c:pt idx="6">
                  <c:v>-14.510612415517434</c:v>
                </c:pt>
                <c:pt idx="7">
                  <c:v>-13.223886835098675</c:v>
                </c:pt>
                <c:pt idx="8">
                  <c:v>-11.348530777722996</c:v>
                </c:pt>
                <c:pt idx="9">
                  <c:v>-13.99195969890758</c:v>
                </c:pt>
                <c:pt idx="10">
                  <c:v>-14.880053892475528</c:v>
                </c:pt>
                <c:pt idx="11">
                  <c:v>-17.448805699523781</c:v>
                </c:pt>
                <c:pt idx="12">
                  <c:v>-17.029391607989872</c:v>
                </c:pt>
                <c:pt idx="13">
                  <c:v>-15.27195694334775</c:v>
                </c:pt>
                <c:pt idx="14">
                  <c:v>-16.448112967981128</c:v>
                </c:pt>
                <c:pt idx="15">
                  <c:v>-18.452731916609057</c:v>
                </c:pt>
                <c:pt idx="16">
                  <c:v>-14.153808528870274</c:v>
                </c:pt>
                <c:pt idx="17">
                  <c:v>-17.077243427097443</c:v>
                </c:pt>
                <c:pt idx="18">
                  <c:v>-15.093245390988416</c:v>
                </c:pt>
                <c:pt idx="19">
                  <c:v>-14.349549802521462</c:v>
                </c:pt>
                <c:pt idx="20">
                  <c:v>-14.533082875122489</c:v>
                </c:pt>
                <c:pt idx="21">
                  <c:v>-19.062428300579427</c:v>
                </c:pt>
                <c:pt idx="22">
                  <c:v>-17.249201754843899</c:v>
                </c:pt>
                <c:pt idx="23">
                  <c:v>-12.261782793274149</c:v>
                </c:pt>
                <c:pt idx="24">
                  <c:v>-15.189894335066992</c:v>
                </c:pt>
                <c:pt idx="25">
                  <c:v>-16.094111939936305</c:v>
                </c:pt>
                <c:pt idx="26">
                  <c:v>-15.844259438034435</c:v>
                </c:pt>
                <c:pt idx="27">
                  <c:v>-15.803469197897041</c:v>
                </c:pt>
                <c:pt idx="28">
                  <c:v>-15.037944197519662</c:v>
                </c:pt>
                <c:pt idx="29">
                  <c:v>-14.686097123848471</c:v>
                </c:pt>
                <c:pt idx="30">
                  <c:v>-15.930766164987265</c:v>
                </c:pt>
                <c:pt idx="31">
                  <c:v>0</c:v>
                </c:pt>
                <c:pt idx="32">
                  <c:v>0</c:v>
                </c:pt>
                <c:pt idx="33">
                  <c:v>0</c:v>
                </c:pt>
                <c:pt idx="34">
                  <c:v>0</c:v>
                </c:pt>
                <c:pt idx="35">
                  <c:v>0</c:v>
                </c:pt>
              </c:numCache>
            </c:numRef>
          </c:val>
          <c:smooth val="0"/>
          <c:extLst>
            <c:ext xmlns:c16="http://schemas.microsoft.com/office/drawing/2014/chart" uri="{C3380CC4-5D6E-409C-BE32-E72D297353CC}">
              <c16:uniqueId val="{00000003-93CD-4EAB-87D8-22C550DAFD4F}"/>
            </c:ext>
          </c:extLst>
        </c:ser>
        <c:dLbls>
          <c:showLegendKey val="0"/>
          <c:showVal val="0"/>
          <c:showCatName val="0"/>
          <c:showSerName val="0"/>
          <c:showPercent val="0"/>
          <c:showBubbleSize val="0"/>
        </c:dLbls>
        <c:marker val="1"/>
        <c:smooth val="0"/>
        <c:axId val="221841512"/>
        <c:axId val="221841904"/>
      </c:lineChart>
      <c:catAx>
        <c:axId val="221841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841904"/>
        <c:crosses val="autoZero"/>
        <c:auto val="1"/>
        <c:lblAlgn val="ctr"/>
        <c:lblOffset val="100"/>
        <c:tickLblSkip val="1"/>
        <c:tickMarkSkip val="1"/>
        <c:noMultiLvlLbl val="0"/>
      </c:catAx>
      <c:valAx>
        <c:axId val="22184190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827268750497099E-3"/>
              <c:y val="0.38889026583541464"/>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841512"/>
        <c:crosses val="autoZero"/>
        <c:crossBetween val="midCat"/>
      </c:valAx>
      <c:spPr>
        <a:solidFill>
          <a:srgbClr val="FFFFFF"/>
        </a:solidFill>
        <a:ln w="12700">
          <a:solidFill>
            <a:srgbClr val="808080"/>
          </a:solidFill>
          <a:prstDash val="solid"/>
        </a:ln>
      </c:spPr>
    </c:plotArea>
    <c:legend>
      <c:legendPos val="r"/>
      <c:layout>
        <c:manualLayout>
          <c:xMode val="edge"/>
          <c:yMode val="edge"/>
          <c:x val="0.10000007570257669"/>
          <c:y val="0.14557014509937435"/>
          <c:w val="0.8084589251109966"/>
          <c:h val="8.2612379148808895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userShapes r:id="rId1"/>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Gas'!$S$65</c:f>
          <c:strCache>
            <c:ptCount val="1"/>
            <c:pt idx="0">
              <c:v>Methane Emissions by Source, 1990-2025</c:v>
            </c:pt>
          </c:strCache>
        </c:strRef>
      </c:tx>
      <c:layout>
        <c:manualLayout>
          <c:xMode val="edge"/>
          <c:yMode val="edge"/>
          <c:x val="0.29838093349622929"/>
          <c:y val="2.982113990718047E-2"/>
        </c:manualLayout>
      </c:layout>
      <c:overlay val="0"/>
      <c:spPr>
        <a:noFill/>
        <a:ln w="25400">
          <a:noFill/>
        </a:ln>
      </c:spPr>
      <c:txPr>
        <a:bodyPr/>
        <a:lstStyle/>
        <a:p>
          <a:pPr algn="ct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6.9427527405602929E-2"/>
          <c:y val="0.11133200795228629"/>
          <c:w val="0.7320341047503045"/>
          <c:h val="0.7813121272365805"/>
        </c:manualLayout>
      </c:layout>
      <c:lineChart>
        <c:grouping val="standard"/>
        <c:varyColors val="0"/>
        <c:ser>
          <c:idx val="1"/>
          <c:order val="0"/>
          <c:tx>
            <c:strRef>
              <c:f>'Summary by Gas'!$B$13</c:f>
              <c:strCache>
                <c:ptCount val="1"/>
                <c:pt idx="0">
                  <c:v>Stationary Combustion</c:v>
                </c:pt>
              </c:strCache>
            </c:strRef>
          </c:tx>
          <c:spPr>
            <a:ln w="12700">
              <a:solidFill>
                <a:srgbClr val="800080"/>
              </a:solidFill>
              <a:prstDash val="solid"/>
            </a:ln>
          </c:spPr>
          <c:marker>
            <c:symbol val="square"/>
            <c:size val="5"/>
            <c:spPr>
              <a:solidFill>
                <a:srgbClr val="800080"/>
              </a:solidFill>
              <a:ln>
                <a:solidFill>
                  <a:srgbClr val="800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[0]!ChartRange_SummaryGas_CH4_Stationary_Combustion</c:f>
              <c:numCache>
                <c:formatCode>_(* #,##0.00_);_(* \(#,##0.00\);_(* "-"??_);_(@_)</c:formatCode>
                <c:ptCount val="36"/>
                <c:pt idx="0">
                  <c:v>0.4858297572352</c:v>
                </c:pt>
                <c:pt idx="1">
                  <c:v>0.5017613591138399</c:v>
                </c:pt>
                <c:pt idx="2">
                  <c:v>0.51516781805664003</c:v>
                </c:pt>
                <c:pt idx="3">
                  <c:v>0.37238743278239994</c:v>
                </c:pt>
                <c:pt idx="4">
                  <c:v>0.36265880347703994</c:v>
                </c:pt>
                <c:pt idx="5">
                  <c:v>0.36478966713280003</c:v>
                </c:pt>
                <c:pt idx="6">
                  <c:v>0.38387711077632003</c:v>
                </c:pt>
                <c:pt idx="7">
                  <c:v>0.32892975837959998</c:v>
                </c:pt>
                <c:pt idx="8">
                  <c:v>0.29326403865247996</c:v>
                </c:pt>
                <c:pt idx="9">
                  <c:v>0.30461777718735994</c:v>
                </c:pt>
                <c:pt idx="10">
                  <c:v>0.31175911563440001</c:v>
                </c:pt>
                <c:pt idx="11">
                  <c:v>0.33611451761440003</c:v>
                </c:pt>
                <c:pt idx="12">
                  <c:v>0.34090591896032002</c:v>
                </c:pt>
                <c:pt idx="13">
                  <c:v>0.35292491316319996</c:v>
                </c:pt>
                <c:pt idx="14">
                  <c:v>0.34795597413023999</c:v>
                </c:pt>
                <c:pt idx="15">
                  <c:v>0.24501282807399999</c:v>
                </c:pt>
                <c:pt idx="16">
                  <c:v>0.23265360372351995</c:v>
                </c:pt>
                <c:pt idx="17">
                  <c:v>0.24648345726759999</c:v>
                </c:pt>
                <c:pt idx="18">
                  <c:v>0.25834426844239999</c:v>
                </c:pt>
                <c:pt idx="19">
                  <c:v>0.30522027885439995</c:v>
                </c:pt>
                <c:pt idx="20">
                  <c:v>0.31605788780383987</c:v>
                </c:pt>
                <c:pt idx="21">
                  <c:v>0.31457311927383996</c:v>
                </c:pt>
                <c:pt idx="22">
                  <c:v>0.27996131015383996</c:v>
                </c:pt>
                <c:pt idx="23">
                  <c:v>0.33426005087999994</c:v>
                </c:pt>
                <c:pt idx="24">
                  <c:v>0.34143327794855993</c:v>
                </c:pt>
                <c:pt idx="25">
                  <c:v>0.22912430182376001</c:v>
                </c:pt>
                <c:pt idx="26">
                  <c:v>0.21810115176528</c:v>
                </c:pt>
                <c:pt idx="27">
                  <c:v>0.21145087848751995</c:v>
                </c:pt>
                <c:pt idx="28">
                  <c:v>0.23537766868000001</c:v>
                </c:pt>
                <c:pt idx="29">
                  <c:v>0.23975065827999997</c:v>
                </c:pt>
                <c:pt idx="30">
                  <c:v>0.21470663843999996</c:v>
                </c:pt>
                <c:pt idx="31">
                  <c:v>0</c:v>
                </c:pt>
                <c:pt idx="32">
                  <c:v>0</c:v>
                </c:pt>
                <c:pt idx="33">
                  <c:v>0</c:v>
                </c:pt>
                <c:pt idx="34">
                  <c:v>0</c:v>
                </c:pt>
                <c:pt idx="35">
                  <c:v>0</c:v>
                </c:pt>
              </c:numCache>
            </c:numRef>
          </c:val>
          <c:smooth val="0"/>
          <c:extLst>
            <c:ext xmlns:c16="http://schemas.microsoft.com/office/drawing/2014/chart" uri="{C3380CC4-5D6E-409C-BE32-E72D297353CC}">
              <c16:uniqueId val="{00000000-E495-409B-BB42-D952E72103EA}"/>
            </c:ext>
          </c:extLst>
        </c:ser>
        <c:ser>
          <c:idx val="2"/>
          <c:order val="1"/>
          <c:tx>
            <c:strRef>
              <c:f>'Summary by Gas'!$B$14</c:f>
              <c:strCache>
                <c:ptCount val="1"/>
                <c:pt idx="0">
                  <c:v>Mobile Combustion</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[0]!ChartRange_SummaryGas_CH4_Mobile_Combustion</c:f>
              <c:numCache>
                <c:formatCode>_(* #,##0.00_);_(* \(#,##0.00\);_(* "-"??_);_(@_)</c:formatCode>
                <c:ptCount val="36"/>
                <c:pt idx="0">
                  <c:v>0.25902802416237741</c:v>
                </c:pt>
                <c:pt idx="1">
                  <c:v>0.25606484590993939</c:v>
                </c:pt>
                <c:pt idx="2">
                  <c:v>0.25289423124575738</c:v>
                </c:pt>
                <c:pt idx="3">
                  <c:v>0.26087241061316574</c:v>
                </c:pt>
                <c:pt idx="4">
                  <c:v>0.25169529370109578</c:v>
                </c:pt>
                <c:pt idx="5">
                  <c:v>0.24740088434635266</c:v>
                </c:pt>
                <c:pt idx="6">
                  <c:v>0.24184606017550217</c:v>
                </c:pt>
                <c:pt idx="7">
                  <c:v>0.23279294956414209</c:v>
                </c:pt>
                <c:pt idx="8">
                  <c:v>0.22511323307769662</c:v>
                </c:pt>
                <c:pt idx="9">
                  <c:v>0.19822070797162042</c:v>
                </c:pt>
                <c:pt idx="10">
                  <c:v>0.18606439254569934</c:v>
                </c:pt>
                <c:pt idx="11">
                  <c:v>0.17061847438529709</c:v>
                </c:pt>
                <c:pt idx="12">
                  <c:v>0.16173119647493706</c:v>
                </c:pt>
                <c:pt idx="13">
                  <c:v>0.15785923353665421</c:v>
                </c:pt>
                <c:pt idx="14">
                  <c:v>0.14542045945383453</c:v>
                </c:pt>
                <c:pt idx="15">
                  <c:v>0.14583769729898108</c:v>
                </c:pt>
                <c:pt idx="16">
                  <c:v>0.13324057383737231</c:v>
                </c:pt>
                <c:pt idx="17">
                  <c:v>0.11407558730023627</c:v>
                </c:pt>
                <c:pt idx="18">
                  <c:v>0.10780745516102988</c:v>
                </c:pt>
                <c:pt idx="19">
                  <c:v>9.7610614646919142E-2</c:v>
                </c:pt>
                <c:pt idx="20">
                  <c:v>0.11157077314635896</c:v>
                </c:pt>
                <c:pt idx="21">
                  <c:v>0.10605306685444683</c:v>
                </c:pt>
                <c:pt idx="22">
                  <c:v>0.10337971687381742</c:v>
                </c:pt>
                <c:pt idx="23">
                  <c:v>9.7625299507506494E-2</c:v>
                </c:pt>
                <c:pt idx="24">
                  <c:v>9.3677735174814716E-2</c:v>
                </c:pt>
                <c:pt idx="25">
                  <c:v>8.8094052415353549E-2</c:v>
                </c:pt>
                <c:pt idx="26">
                  <c:v>8.8091504811360744E-2</c:v>
                </c:pt>
                <c:pt idx="27">
                  <c:v>8.7248364732252504E-2</c:v>
                </c:pt>
                <c:pt idx="28">
                  <c:v>8.5810258366435854E-2</c:v>
                </c:pt>
                <c:pt idx="29">
                  <c:v>8.649294424492078E-2</c:v>
                </c:pt>
                <c:pt idx="30">
                  <c:v>7.2472475767798333E-2</c:v>
                </c:pt>
                <c:pt idx="31">
                  <c:v>0</c:v>
                </c:pt>
                <c:pt idx="32">
                  <c:v>0</c:v>
                </c:pt>
                <c:pt idx="33">
                  <c:v>0</c:v>
                </c:pt>
                <c:pt idx="34">
                  <c:v>0</c:v>
                </c:pt>
                <c:pt idx="35">
                  <c:v>0</c:v>
                </c:pt>
              </c:numCache>
            </c:numRef>
          </c:val>
          <c:smooth val="0"/>
          <c:extLst>
            <c:ext xmlns:c16="http://schemas.microsoft.com/office/drawing/2014/chart" uri="{C3380CC4-5D6E-409C-BE32-E72D297353CC}">
              <c16:uniqueId val="{00000001-E495-409B-BB42-D952E72103EA}"/>
            </c:ext>
          </c:extLst>
        </c:ser>
        <c:ser>
          <c:idx val="3"/>
          <c:order val="2"/>
          <c:tx>
            <c:strRef>
              <c:f>'Summary by Gas'!$B$15</c:f>
              <c:strCache>
                <c:ptCount val="1"/>
                <c:pt idx="0">
                  <c:v>Coal Mining</c:v>
                </c:pt>
              </c:strCache>
            </c:strRef>
          </c:tx>
          <c:spPr>
            <a:ln w="12700">
              <a:solidFill>
                <a:srgbClr val="0000FF"/>
              </a:solidFill>
              <a:prstDash val="solid"/>
            </a:ln>
          </c:spPr>
          <c:marker>
            <c:symbol val="x"/>
            <c:size val="5"/>
            <c:spPr>
              <a:noFill/>
              <a:ln>
                <a:solidFill>
                  <a:srgbClr val="0000FF"/>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[0]!ChartRange_SummaryGas_CH4_Coal_Mining</c:f>
              <c:numCache>
                <c:formatCode>_(* #,##0.00_);_(* \(#,##0.00\);_(* "-"??_);_(@_)</c:formatCode>
                <c:ptCount val="36"/>
                <c:pt idx="0">
                  <c:v>5.6095730522525251</c:v>
                </c:pt>
                <c:pt idx="1">
                  <c:v>5.7316163230608126</c:v>
                </c:pt>
                <c:pt idx="2">
                  <c:v>6.0682569698323219</c:v>
                </c:pt>
                <c:pt idx="3">
                  <c:v>4.7383538301402499</c:v>
                </c:pt>
                <c:pt idx="4">
                  <c:v>5.8160582071118139</c:v>
                </c:pt>
                <c:pt idx="5">
                  <c:v>6.041098884221106</c:v>
                </c:pt>
                <c:pt idx="6">
                  <c:v>5.7511454563557791</c:v>
                </c:pt>
                <c:pt idx="7">
                  <c:v>5.1833555609672377</c:v>
                </c:pt>
                <c:pt idx="8">
                  <c:v>4.6993001369882723</c:v>
                </c:pt>
                <c:pt idx="9">
                  <c:v>4.6494204361978326</c:v>
                </c:pt>
                <c:pt idx="10">
                  <c:v>4.9655778923927656</c:v>
                </c:pt>
                <c:pt idx="11">
                  <c:v>4.2388340316071167</c:v>
                </c:pt>
                <c:pt idx="12">
                  <c:v>3.5162484091918533</c:v>
                </c:pt>
                <c:pt idx="13">
                  <c:v>2.9562908457696908</c:v>
                </c:pt>
                <c:pt idx="14">
                  <c:v>3.5165107329022613</c:v>
                </c:pt>
                <c:pt idx="15">
                  <c:v>3.8915886057312741</c:v>
                </c:pt>
                <c:pt idx="16">
                  <c:v>4.0620802276130012</c:v>
                </c:pt>
                <c:pt idx="17">
                  <c:v>2.7839899371823229</c:v>
                </c:pt>
                <c:pt idx="18">
                  <c:v>4.4933615707200287</c:v>
                </c:pt>
                <c:pt idx="19">
                  <c:v>4.2955934175885684</c:v>
                </c:pt>
                <c:pt idx="20">
                  <c:v>5.017884120230975</c:v>
                </c:pt>
                <c:pt idx="21">
                  <c:v>4.5112036313636557</c:v>
                </c:pt>
                <c:pt idx="22">
                  <c:v>5.6457604155838652</c:v>
                </c:pt>
                <c:pt idx="23">
                  <c:v>5.2154325366169889</c:v>
                </c:pt>
                <c:pt idx="24">
                  <c:v>5.4038968800856111</c:v>
                </c:pt>
                <c:pt idx="25">
                  <c:v>6.1006752360734762</c:v>
                </c:pt>
                <c:pt idx="26">
                  <c:v>6.3486134896853033</c:v>
                </c:pt>
                <c:pt idx="27">
                  <c:v>4.9745623326882029</c:v>
                </c:pt>
                <c:pt idx="28">
                  <c:v>3.8931467135535032</c:v>
                </c:pt>
                <c:pt idx="29">
                  <c:v>3.4149984667047941</c:v>
                </c:pt>
                <c:pt idx="30">
                  <c:v>2.5632706870975728</c:v>
                </c:pt>
                <c:pt idx="31">
                  <c:v>0.34073498465039781</c:v>
                </c:pt>
                <c:pt idx="32">
                  <c:v>0.3342652406828584</c:v>
                </c:pt>
                <c:pt idx="33">
                  <c:v>0.32827812681537971</c:v>
                </c:pt>
                <c:pt idx="34">
                  <c:v>0.32270198347361084</c:v>
                </c:pt>
                <c:pt idx="35">
                  <c:v>0.31748190045141383</c:v>
                </c:pt>
              </c:numCache>
            </c:numRef>
          </c:val>
          <c:smooth val="0"/>
          <c:extLst>
            <c:ext xmlns:c16="http://schemas.microsoft.com/office/drawing/2014/chart" uri="{C3380CC4-5D6E-409C-BE32-E72D297353CC}">
              <c16:uniqueId val="{00000002-E495-409B-BB42-D952E72103EA}"/>
            </c:ext>
          </c:extLst>
        </c:ser>
        <c:ser>
          <c:idx val="4"/>
          <c:order val="3"/>
          <c:tx>
            <c:strRef>
              <c:f>'Summary by Gas'!$B$16</c:f>
              <c:strCache>
                <c:ptCount val="1"/>
                <c:pt idx="0">
                  <c:v>Natural Gas and Oil Systems</c:v>
                </c:pt>
              </c:strCache>
            </c:strRef>
          </c:tx>
          <c:spPr>
            <a:ln w="12700">
              <a:solidFill>
                <a:srgbClr val="800080"/>
              </a:solidFill>
              <a:prstDash val="solid"/>
            </a:ln>
          </c:spPr>
          <c:marker>
            <c:symbol val="star"/>
            <c:size val="5"/>
            <c:spPr>
              <a:noFill/>
              <a:ln>
                <a:solidFill>
                  <a:srgbClr val="800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[0]!ChartRange_SummaryGas_CH4_Natural_Gas_and_Oil_Systems</c:f>
              <c:numCache>
                <c:formatCode>_(* #,##0.00_);_(* \(#,##0.00\);_(* "-"??_);_(@_)</c:formatCode>
                <c:ptCount val="36"/>
                <c:pt idx="0">
                  <c:v>0.39899376005184967</c:v>
                </c:pt>
                <c:pt idx="1">
                  <c:v>0.3819970340933615</c:v>
                </c:pt>
                <c:pt idx="2">
                  <c:v>0.39175792894839451</c:v>
                </c:pt>
                <c:pt idx="3">
                  <c:v>0.3692305128285937</c:v>
                </c:pt>
                <c:pt idx="4">
                  <c:v>0.37212240976302946</c:v>
                </c:pt>
                <c:pt idx="5">
                  <c:v>0.3551631885927603</c:v>
                </c:pt>
                <c:pt idx="6">
                  <c:v>0.35045796104608912</c:v>
                </c:pt>
                <c:pt idx="7">
                  <c:v>0.35569466177544917</c:v>
                </c:pt>
                <c:pt idx="8">
                  <c:v>0.29145658127290247</c:v>
                </c:pt>
                <c:pt idx="9">
                  <c:v>0.28090821672969968</c:v>
                </c:pt>
                <c:pt idx="10">
                  <c:v>0.28052271501153603</c:v>
                </c:pt>
                <c:pt idx="11">
                  <c:v>0.23829249341067765</c:v>
                </c:pt>
                <c:pt idx="12">
                  <c:v>0.25104193418526227</c:v>
                </c:pt>
                <c:pt idx="13">
                  <c:v>0.26997762748372706</c:v>
                </c:pt>
                <c:pt idx="14">
                  <c:v>0.26336009438614749</c:v>
                </c:pt>
                <c:pt idx="15">
                  <c:v>0.24895434402878291</c:v>
                </c:pt>
                <c:pt idx="16">
                  <c:v>0.26794343815843596</c:v>
                </c:pt>
                <c:pt idx="17">
                  <c:v>0.21922452073685261</c:v>
                </c:pt>
                <c:pt idx="18">
                  <c:v>0.21745618501587691</c:v>
                </c:pt>
                <c:pt idx="19">
                  <c:v>0.19172472488357309</c:v>
                </c:pt>
                <c:pt idx="20">
                  <c:v>4.0246750898860917</c:v>
                </c:pt>
                <c:pt idx="21">
                  <c:v>4.025256043012452</c:v>
                </c:pt>
                <c:pt idx="22">
                  <c:v>3.9870156998712174</c:v>
                </c:pt>
                <c:pt idx="23">
                  <c:v>3.9745510157782333</c:v>
                </c:pt>
                <c:pt idx="24">
                  <c:v>3.9666084781963558</c:v>
                </c:pt>
                <c:pt idx="25">
                  <c:v>3.9256958769467443</c:v>
                </c:pt>
                <c:pt idx="26">
                  <c:v>3.9043292322308569</c:v>
                </c:pt>
                <c:pt idx="27">
                  <c:v>3.9077879964245814</c:v>
                </c:pt>
                <c:pt idx="28">
                  <c:v>3.8706345923295151</c:v>
                </c:pt>
                <c:pt idx="29">
                  <c:v>3.898865871852609</c:v>
                </c:pt>
                <c:pt idx="30">
                  <c:v>3.8961344544001206</c:v>
                </c:pt>
                <c:pt idx="31">
                  <c:v>3.8152114226839777</c:v>
                </c:pt>
                <c:pt idx="32">
                  <c:v>3.8164075844402912</c:v>
                </c:pt>
                <c:pt idx="33">
                  <c:v>0</c:v>
                </c:pt>
                <c:pt idx="34">
                  <c:v>0</c:v>
                </c:pt>
                <c:pt idx="35">
                  <c:v>0</c:v>
                </c:pt>
              </c:numCache>
            </c:numRef>
          </c:val>
          <c:smooth val="0"/>
          <c:extLst>
            <c:ext xmlns:c16="http://schemas.microsoft.com/office/drawing/2014/chart" uri="{C3380CC4-5D6E-409C-BE32-E72D297353CC}">
              <c16:uniqueId val="{00000003-E495-409B-BB42-D952E72103EA}"/>
            </c:ext>
          </c:extLst>
        </c:ser>
        <c:ser>
          <c:idx val="5"/>
          <c:order val="4"/>
          <c:tx>
            <c:strRef>
              <c:f>'Summary by Gas'!$B$17</c:f>
              <c:strCache>
                <c:ptCount val="1"/>
                <c:pt idx="0">
                  <c:v>Agriculture</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[0]!ChartRange_SummaryGas_CH4_Enteric_Fermentation</c:f>
              <c:numCache>
                <c:formatCode>_(* #,##0.00_);_(* \(#,##0.00\);_(* "-"??_);_(@_)</c:formatCode>
                <c:ptCount val="36"/>
                <c:pt idx="0">
                  <c:v>5.4569354143163764</c:v>
                </c:pt>
                <c:pt idx="1">
                  <c:v>5.7629508035074632</c:v>
                </c:pt>
                <c:pt idx="2">
                  <c:v>5.5645589113327265</c:v>
                </c:pt>
                <c:pt idx="3">
                  <c:v>5.6593183639506233</c:v>
                </c:pt>
                <c:pt idx="4">
                  <c:v>5.649093847298726</c:v>
                </c:pt>
                <c:pt idx="5">
                  <c:v>5.423712257729103</c:v>
                </c:pt>
                <c:pt idx="6">
                  <c:v>4.9520461236919209</c:v>
                </c:pt>
                <c:pt idx="7">
                  <c:v>4.8056239030267403</c:v>
                </c:pt>
                <c:pt idx="8">
                  <c:v>5.012205917675681</c:v>
                </c:pt>
                <c:pt idx="9">
                  <c:v>4.8162776956003484</c:v>
                </c:pt>
                <c:pt idx="10">
                  <c:v>4.7376963058546337</c:v>
                </c:pt>
                <c:pt idx="11">
                  <c:v>4.6598676835122435</c:v>
                </c:pt>
                <c:pt idx="12">
                  <c:v>4.6672024643358032</c:v>
                </c:pt>
                <c:pt idx="13">
                  <c:v>4.4148939274116987</c:v>
                </c:pt>
                <c:pt idx="14">
                  <c:v>4.261157539127689</c:v>
                </c:pt>
                <c:pt idx="15">
                  <c:v>4.5256899894464135</c:v>
                </c:pt>
                <c:pt idx="16">
                  <c:v>4.5321181390597971</c:v>
                </c:pt>
                <c:pt idx="17">
                  <c:v>4.5946105659414433</c:v>
                </c:pt>
                <c:pt idx="18">
                  <c:v>4.3218351506732233</c:v>
                </c:pt>
                <c:pt idx="19">
                  <c:v>4.1768101136134588</c:v>
                </c:pt>
                <c:pt idx="20">
                  <c:v>4.3810935682507317</c:v>
                </c:pt>
                <c:pt idx="21">
                  <c:v>4.2602227425749559</c:v>
                </c:pt>
                <c:pt idx="22">
                  <c:v>4.3568411694382307</c:v>
                </c:pt>
                <c:pt idx="23">
                  <c:v>4.2495563798386362</c:v>
                </c:pt>
                <c:pt idx="24">
                  <c:v>4.2128720947980831</c:v>
                </c:pt>
                <c:pt idx="25">
                  <c:v>4.4018814658659968</c:v>
                </c:pt>
                <c:pt idx="26">
                  <c:v>4.6808791128527512</c:v>
                </c:pt>
                <c:pt idx="27">
                  <c:v>4.7082448480944539</c:v>
                </c:pt>
                <c:pt idx="28">
                  <c:v>4.7444606868344588</c:v>
                </c:pt>
                <c:pt idx="29">
                  <c:v>4.5209730547819245</c:v>
                </c:pt>
                <c:pt idx="30">
                  <c:v>4.4540597329471279</c:v>
                </c:pt>
                <c:pt idx="31">
                  <c:v>4.6687001282814631</c:v>
                </c:pt>
                <c:pt idx="32">
                  <c:v>0</c:v>
                </c:pt>
                <c:pt idx="33">
                  <c:v>0</c:v>
                </c:pt>
                <c:pt idx="34">
                  <c:v>0</c:v>
                </c:pt>
                <c:pt idx="35">
                  <c:v>0</c:v>
                </c:pt>
              </c:numCache>
            </c:numRef>
          </c:val>
          <c:smooth val="0"/>
          <c:extLst>
            <c:ext xmlns:c16="http://schemas.microsoft.com/office/drawing/2014/chart" uri="{C3380CC4-5D6E-409C-BE32-E72D297353CC}">
              <c16:uniqueId val="{00000004-E495-409B-BB42-D952E72103EA}"/>
            </c:ext>
          </c:extLst>
        </c:ser>
        <c:ser>
          <c:idx val="6"/>
          <c:order val="5"/>
          <c:tx>
            <c:strRef>
              <c:f>'Summary by Gas'!$B$18</c:f>
              <c:strCache>
                <c:ptCount val="1"/>
                <c:pt idx="0">
                  <c:v>LULUCF</c:v>
                </c:pt>
              </c:strCache>
            </c:strRef>
          </c:tx>
          <c:spPr>
            <a:ln w="12700">
              <a:solidFill>
                <a:srgbClr val="008080"/>
              </a:solidFill>
              <a:prstDash val="solid"/>
            </a:ln>
          </c:spPr>
          <c:marker>
            <c:symbol val="plus"/>
            <c:size val="5"/>
            <c:spPr>
              <a:noFill/>
              <a:ln>
                <a:solidFill>
                  <a:srgbClr val="008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[0]!ChartRange_SummaryGas_CH4_Manure_Management</c:f>
              <c:numCache>
                <c:formatCode>_(* #,##0.00_);_(* \(#,##0.00\);_(* "-"??_);_(@_)</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5-E495-409B-BB42-D952E72103EA}"/>
            </c:ext>
          </c:extLst>
        </c:ser>
        <c:ser>
          <c:idx val="10"/>
          <c:order val="6"/>
          <c:tx>
            <c:strRef>
              <c:f>'Summary by Gas'!$B$19</c:f>
              <c:strCache>
                <c:ptCount val="1"/>
                <c:pt idx="0">
                  <c:v>Waste</c:v>
                </c:pt>
              </c:strCache>
            </c:strRef>
          </c:tx>
          <c:spPr>
            <a:ln w="12700">
              <a:solidFill>
                <a:srgbClr val="33CCCC"/>
              </a:solidFill>
              <a:prstDash val="solid"/>
            </a:ln>
          </c:spPr>
          <c:marker>
            <c:symbol val="square"/>
            <c:size val="5"/>
            <c:spPr>
              <a:solidFill>
                <a:srgbClr val="33CCCC"/>
              </a:solidFill>
              <a:ln>
                <a:solidFill>
                  <a:srgbClr val="00CCFF"/>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[0]!ChartRange_SummaryGas_Waste</c:f>
              <c:numCache>
                <c:formatCode>_(* #,##0.00_);_(* \(#,##0.00\);_(* "-"??_);_(@_)</c:formatCode>
                <c:ptCount val="36"/>
                <c:pt idx="0">
                  <c:v>9.7396116923478854E-2</c:v>
                </c:pt>
                <c:pt idx="1">
                  <c:v>0.12084007285876185</c:v>
                </c:pt>
                <c:pt idx="2">
                  <c:v>0.11485480727145558</c:v>
                </c:pt>
                <c:pt idx="3">
                  <c:v>0.12841266331608381</c:v>
                </c:pt>
                <c:pt idx="4">
                  <c:v>0.13014074264596626</c:v>
                </c:pt>
                <c:pt idx="5">
                  <c:v>6.2310373750787761E-2</c:v>
                </c:pt>
                <c:pt idx="6">
                  <c:v>6.3155450959526765E-2</c:v>
                </c:pt>
                <c:pt idx="7">
                  <c:v>0</c:v>
                </c:pt>
                <c:pt idx="8">
                  <c:v>6.5409947883470501E-2</c:v>
                </c:pt>
                <c:pt idx="9">
                  <c:v>0.13872181177278833</c:v>
                </c:pt>
                <c:pt idx="10">
                  <c:v>8.0985810664499586E-2</c:v>
                </c:pt>
                <c:pt idx="11">
                  <c:v>4.2322065294592204E-2</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9-E495-409B-BB42-D952E72103EA}"/>
            </c:ext>
          </c:extLst>
        </c:ser>
        <c:ser>
          <c:idx val="11"/>
          <c:order val="7"/>
          <c:tx>
            <c:strRef>
              <c:f>'Summary by Gas'!$B$20</c:f>
              <c:strCache>
                <c:ptCount val="1"/>
                <c:pt idx="0">
                  <c:v>Wastewater</c:v>
                </c:pt>
              </c:strCache>
            </c:strRef>
          </c:tx>
          <c:spPr>
            <a:ln w="12700">
              <a:solidFill>
                <a:srgbClr val="FF0000"/>
              </a:solidFill>
              <a:prstDash val="solid"/>
            </a:ln>
          </c:spPr>
          <c:marker>
            <c:symbol val="triangle"/>
            <c:size val="5"/>
            <c:spPr>
              <a:solidFill>
                <a:srgbClr val="FF0000"/>
              </a:solidFill>
              <a:ln>
                <a:solidFill>
                  <a:srgbClr val="FF00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[0]!ChartRange_SummaryGas_CH4_Wastewater</c:f>
              <c:numCache>
                <c:formatCode>_(* #,##0.00_);_(* \(#,##0.00\);_(* "-"??_);_(@_)</c:formatCode>
                <c:ptCount val="36"/>
                <c:pt idx="0">
                  <c:v>0.89142881897119652</c:v>
                </c:pt>
                <c:pt idx="1">
                  <c:v>0.89592774551169096</c:v>
                </c:pt>
                <c:pt idx="2">
                  <c:v>0.90550682751453104</c:v>
                </c:pt>
                <c:pt idx="3">
                  <c:v>0.90922429337785893</c:v>
                </c:pt>
                <c:pt idx="4">
                  <c:v>0.92734067539814369</c:v>
                </c:pt>
                <c:pt idx="5">
                  <c:v>0.93521561152289745</c:v>
                </c:pt>
                <c:pt idx="6">
                  <c:v>0.9357712583443053</c:v>
                </c:pt>
                <c:pt idx="7">
                  <c:v>0.94043190426947965</c:v>
                </c:pt>
                <c:pt idx="8">
                  <c:v>0.95251207614968136</c:v>
                </c:pt>
                <c:pt idx="9">
                  <c:v>0.95985991860443975</c:v>
                </c:pt>
                <c:pt idx="10">
                  <c:v>0.96770677531308458</c:v>
                </c:pt>
                <c:pt idx="11">
                  <c:v>0.97043123212610383</c:v>
                </c:pt>
                <c:pt idx="12">
                  <c:v>0.9722604822830927</c:v>
                </c:pt>
                <c:pt idx="13">
                  <c:v>0.96997505454470856</c:v>
                </c:pt>
                <c:pt idx="14">
                  <c:v>0.97752477774047009</c:v>
                </c:pt>
                <c:pt idx="15">
                  <c:v>0.97991814999990212</c:v>
                </c:pt>
                <c:pt idx="16">
                  <c:v>0.98440632859967969</c:v>
                </c:pt>
                <c:pt idx="17">
                  <c:v>0.99227827933426038</c:v>
                </c:pt>
                <c:pt idx="18">
                  <c:v>1.0015846422158301</c:v>
                </c:pt>
                <c:pt idx="19">
                  <c:v>0.99820893895007012</c:v>
                </c:pt>
                <c:pt idx="20">
                  <c:v>0.99752427458661574</c:v>
                </c:pt>
                <c:pt idx="21">
                  <c:v>1.0008566290591343</c:v>
                </c:pt>
                <c:pt idx="22">
                  <c:v>1.0093777609022347</c:v>
                </c:pt>
                <c:pt idx="23">
                  <c:v>1.0126286258858781</c:v>
                </c:pt>
                <c:pt idx="24">
                  <c:v>1.0113050042083291</c:v>
                </c:pt>
                <c:pt idx="25">
                  <c:v>1.0181236030615435</c:v>
                </c:pt>
                <c:pt idx="26">
                  <c:v>1.018483766191987</c:v>
                </c:pt>
                <c:pt idx="27">
                  <c:v>1.015762785462734</c:v>
                </c:pt>
                <c:pt idx="28">
                  <c:v>1.0125862772165275</c:v>
                </c:pt>
                <c:pt idx="29">
                  <c:v>1.0113235525806334</c:v>
                </c:pt>
                <c:pt idx="30">
                  <c:v>1.0071241328514235</c:v>
                </c:pt>
                <c:pt idx="31">
                  <c:v>0</c:v>
                </c:pt>
                <c:pt idx="32">
                  <c:v>0</c:v>
                </c:pt>
                <c:pt idx="33">
                  <c:v>0</c:v>
                </c:pt>
                <c:pt idx="34">
                  <c:v>0</c:v>
                </c:pt>
                <c:pt idx="35">
                  <c:v>0</c:v>
                </c:pt>
              </c:numCache>
            </c:numRef>
          </c:val>
          <c:smooth val="0"/>
          <c:extLst>
            <c:ext xmlns:c16="http://schemas.microsoft.com/office/drawing/2014/chart" uri="{C3380CC4-5D6E-409C-BE32-E72D297353CC}">
              <c16:uniqueId val="{0000000A-E495-409B-BB42-D952E72103EA}"/>
            </c:ext>
          </c:extLst>
        </c:ser>
        <c:dLbls>
          <c:showLegendKey val="0"/>
          <c:showVal val="0"/>
          <c:showCatName val="0"/>
          <c:showSerName val="0"/>
          <c:showPercent val="0"/>
          <c:showBubbleSize val="0"/>
        </c:dLbls>
        <c:marker val="1"/>
        <c:smooth val="0"/>
        <c:axId val="221842688"/>
        <c:axId val="221843080"/>
      </c:lineChart>
      <c:catAx>
        <c:axId val="221842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1843080"/>
        <c:crosses val="autoZero"/>
        <c:auto val="1"/>
        <c:lblAlgn val="ctr"/>
        <c:lblOffset val="100"/>
        <c:tickLblSkip val="1"/>
        <c:tickMarkSkip val="1"/>
        <c:noMultiLvlLbl val="0"/>
      </c:catAx>
      <c:valAx>
        <c:axId val="221843080"/>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901095893818964E-3"/>
              <c:y val="0.43339962659306769"/>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1842688"/>
        <c:crosses val="autoZero"/>
        <c:crossBetween val="midCat"/>
      </c:valAx>
      <c:spPr>
        <a:solidFill>
          <a:srgbClr val="FFFFFF"/>
        </a:solidFill>
        <a:ln w="12700">
          <a:solidFill>
            <a:srgbClr val="808080"/>
          </a:solidFill>
          <a:prstDash val="solid"/>
        </a:ln>
      </c:spPr>
    </c:plotArea>
    <c:legend>
      <c:legendPos val="r"/>
      <c:layout>
        <c:manualLayout>
          <c:xMode val="edge"/>
          <c:yMode val="edge"/>
          <c:x val="0.82079177747544818"/>
          <c:y val="0.10000021910104095"/>
          <c:w val="0.16602026500921163"/>
          <c:h val="0.8576941869050820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IndirectCO2!$O$58</c:f>
          <c:strCache>
            <c:ptCount val="1"/>
            <c:pt idx="0">
              <c:v>Indirect Emissions by Sector, 1990-2020</c:v>
            </c:pt>
          </c:strCache>
        </c:strRef>
      </c:tx>
      <c:layout>
        <c:manualLayout>
          <c:xMode val="edge"/>
          <c:yMode val="edge"/>
          <c:x val="0.31527098983316743"/>
          <c:y val="1.7123313800891167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8.8669950738916259E-2"/>
          <c:y val="0.26369907109353447"/>
          <c:w val="0.89408866995073888"/>
          <c:h val="0.48972684631656399"/>
        </c:manualLayout>
      </c:layout>
      <c:lineChart>
        <c:grouping val="standard"/>
        <c:varyColors val="0"/>
        <c:ser>
          <c:idx val="0"/>
          <c:order val="0"/>
          <c:tx>
            <c:strRef>
              <c:f>IndirectCO2!$B$49</c:f>
              <c:strCache>
                <c:ptCount val="1"/>
                <c:pt idx="0">
                  <c:v>Residential</c:v>
                </c:pt>
              </c:strCache>
            </c:strRef>
          </c:tx>
          <c:spPr>
            <a:ln w="12700">
              <a:solidFill>
                <a:srgbClr val="FF9900"/>
              </a:solidFill>
              <a:prstDash val="solid"/>
            </a:ln>
          </c:spPr>
          <c:marker>
            <c:symbol val="diamond"/>
            <c:size val="5"/>
            <c:spPr>
              <a:solidFill>
                <a:srgbClr val="FF9900"/>
              </a:solidFill>
              <a:ln>
                <a:solidFill>
                  <a:srgbClr val="FF9900"/>
                </a:solidFill>
                <a:prstDash val="solid"/>
              </a:ln>
            </c:spPr>
          </c:marker>
          <c:cat>
            <c:numRef>
              <c:f>[0]!ChartRange_IndirectCO2_Year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[0]!ChartRange_IndirectCO2_Residential</c:f>
              <c:numCache>
                <c:formatCode>_(* #,##0.00_);_(* \(#,##0.00\);_(* "-"??_);_(@_)</c:formatCode>
                <c:ptCount val="31"/>
                <c:pt idx="0">
                  <c:v>17.942349601401425</c:v>
                </c:pt>
                <c:pt idx="1">
                  <c:v>19.630248980346892</c:v>
                </c:pt>
                <c:pt idx="2">
                  <c:v>17.667032111953493</c:v>
                </c:pt>
                <c:pt idx="3">
                  <c:v>19.227431177656658</c:v>
                </c:pt>
                <c:pt idx="4">
                  <c:v>19.489470717293909</c:v>
                </c:pt>
                <c:pt idx="5">
                  <c:v>20.952604801251372</c:v>
                </c:pt>
                <c:pt idx="6">
                  <c:v>20.498434927606585</c:v>
                </c:pt>
                <c:pt idx="7">
                  <c:v>20.340059381671978</c:v>
                </c:pt>
                <c:pt idx="8">
                  <c:v>21.67345349820221</c:v>
                </c:pt>
                <c:pt idx="9">
                  <c:v>21.631859920482015</c:v>
                </c:pt>
                <c:pt idx="10">
                  <c:v>21.91341644658797</c:v>
                </c:pt>
                <c:pt idx="11">
                  <c:v>22.826875403443118</c:v>
                </c:pt>
                <c:pt idx="12">
                  <c:v>24.579084852555965</c:v>
                </c:pt>
                <c:pt idx="13">
                  <c:v>23.558922371318619</c:v>
                </c:pt>
                <c:pt idx="14">
                  <c:v>23.712498658285508</c:v>
                </c:pt>
                <c:pt idx="15">
                  <c:v>26.523584610975274</c:v>
                </c:pt>
                <c:pt idx="16">
                  <c:v>25.171648946959351</c:v>
                </c:pt>
                <c:pt idx="17">
                  <c:v>25.919335638038064</c:v>
                </c:pt>
                <c:pt idx="18">
                  <c:v>24.71298998821635</c:v>
                </c:pt>
                <c:pt idx="19">
                  <c:v>22.918021561057877</c:v>
                </c:pt>
                <c:pt idx="20">
                  <c:v>25.231942913589052</c:v>
                </c:pt>
                <c:pt idx="21">
                  <c:v>24.006159241816388</c:v>
                </c:pt>
                <c:pt idx="22">
                  <c:v>23.479377487649153</c:v>
                </c:pt>
                <c:pt idx="23">
                  <c:v>22.625671683349175</c:v>
                </c:pt>
                <c:pt idx="24">
                  <c:v>21.890471778993238</c:v>
                </c:pt>
                <c:pt idx="25">
                  <c:v>19.267277725611088</c:v>
                </c:pt>
                <c:pt idx="26">
                  <c:v>17.82391769980093</c:v>
                </c:pt>
                <c:pt idx="27">
                  <c:v>16.910272490722466</c:v>
                </c:pt>
                <c:pt idx="28">
                  <c:v>18.307488037745124</c:v>
                </c:pt>
                <c:pt idx="29">
                  <c:v>15.687661472688394</c:v>
                </c:pt>
                <c:pt idx="30">
                  <c:v>12.306223372184412</c:v>
                </c:pt>
              </c:numCache>
            </c:numRef>
          </c:val>
          <c:smooth val="0"/>
          <c:extLst>
            <c:ext xmlns:c16="http://schemas.microsoft.com/office/drawing/2014/chart" uri="{C3380CC4-5D6E-409C-BE32-E72D297353CC}">
              <c16:uniqueId val="{00000000-8FA1-4467-953F-B9D738D748A6}"/>
            </c:ext>
          </c:extLst>
        </c:ser>
        <c:ser>
          <c:idx val="1"/>
          <c:order val="1"/>
          <c:tx>
            <c:strRef>
              <c:f>IndirectCO2!$B$50</c:f>
              <c:strCache>
                <c:ptCount val="1"/>
                <c:pt idx="0">
                  <c:v>Commercial</c:v>
                </c:pt>
              </c:strCache>
            </c:strRef>
          </c:tx>
          <c:spPr>
            <a:ln w="12700">
              <a:solidFill>
                <a:srgbClr val="0000FF"/>
              </a:solidFill>
              <a:prstDash val="solid"/>
            </a:ln>
          </c:spPr>
          <c:marker>
            <c:symbol val="square"/>
            <c:size val="5"/>
            <c:spPr>
              <a:solidFill>
                <a:srgbClr val="0000FF"/>
              </a:solidFill>
              <a:ln>
                <a:solidFill>
                  <a:srgbClr val="0000FF"/>
                </a:solidFill>
                <a:prstDash val="solid"/>
              </a:ln>
            </c:spPr>
          </c:marker>
          <c:cat>
            <c:numRef>
              <c:f>[0]!ChartRange_IndirectCO2_Year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[0]!ChartRange_IndirectCO2_Commercial</c:f>
              <c:numCache>
                <c:formatCode>_(* #,##0.00_);_(* \(#,##0.00\);_(* "-"??_);_(@_)</c:formatCode>
                <c:ptCount val="31"/>
                <c:pt idx="0">
                  <c:v>21.287113151301124</c:v>
                </c:pt>
                <c:pt idx="1">
                  <c:v>22.254003857996832</c:v>
                </c:pt>
                <c:pt idx="2">
                  <c:v>21.202326242871493</c:v>
                </c:pt>
                <c:pt idx="3">
                  <c:v>22.87118856124502</c:v>
                </c:pt>
                <c:pt idx="4">
                  <c:v>23.806564134052731</c:v>
                </c:pt>
                <c:pt idx="5">
                  <c:v>24.672510427127495</c:v>
                </c:pt>
                <c:pt idx="6">
                  <c:v>24.882557994614494</c:v>
                </c:pt>
                <c:pt idx="7">
                  <c:v>25.341047201330227</c:v>
                </c:pt>
                <c:pt idx="8">
                  <c:v>26.304418451449607</c:v>
                </c:pt>
                <c:pt idx="9">
                  <c:v>27.642291876349706</c:v>
                </c:pt>
                <c:pt idx="10">
                  <c:v>29.012320336333495</c:v>
                </c:pt>
                <c:pt idx="11">
                  <c:v>28.916335156979184</c:v>
                </c:pt>
                <c:pt idx="12">
                  <c:v>29.286358023390036</c:v>
                </c:pt>
                <c:pt idx="13">
                  <c:v>27.052142998619647</c:v>
                </c:pt>
                <c:pt idx="14">
                  <c:v>25.849928627206971</c:v>
                </c:pt>
                <c:pt idx="15">
                  <c:v>27.279307923091501</c:v>
                </c:pt>
                <c:pt idx="16">
                  <c:v>27.477838604610739</c:v>
                </c:pt>
                <c:pt idx="17">
                  <c:v>28.081441537020712</c:v>
                </c:pt>
                <c:pt idx="18">
                  <c:v>27.349104185123721</c:v>
                </c:pt>
                <c:pt idx="19">
                  <c:v>26.022755423873715</c:v>
                </c:pt>
                <c:pt idx="20">
                  <c:v>26.714366175649467</c:v>
                </c:pt>
                <c:pt idx="21">
                  <c:v>25.746388239533722</c:v>
                </c:pt>
                <c:pt idx="22">
                  <c:v>25.434855202034591</c:v>
                </c:pt>
                <c:pt idx="23">
                  <c:v>24.626378111796157</c:v>
                </c:pt>
                <c:pt idx="24">
                  <c:v>24.083925386262532</c:v>
                </c:pt>
                <c:pt idx="25">
                  <c:v>21.715988078512542</c:v>
                </c:pt>
                <c:pt idx="26">
                  <c:v>19.730710460520275</c:v>
                </c:pt>
                <c:pt idx="27">
                  <c:v>19.335759068844581</c:v>
                </c:pt>
                <c:pt idx="28">
                  <c:v>19.67860396935221</c:v>
                </c:pt>
                <c:pt idx="29">
                  <c:v>17.095557205534661</c:v>
                </c:pt>
                <c:pt idx="30">
                  <c:v>12.123896221533265</c:v>
                </c:pt>
              </c:numCache>
            </c:numRef>
          </c:val>
          <c:smooth val="0"/>
          <c:extLst>
            <c:ext xmlns:c16="http://schemas.microsoft.com/office/drawing/2014/chart" uri="{C3380CC4-5D6E-409C-BE32-E72D297353CC}">
              <c16:uniqueId val="{00000001-8FA1-4467-953F-B9D738D748A6}"/>
            </c:ext>
          </c:extLst>
        </c:ser>
        <c:ser>
          <c:idx val="2"/>
          <c:order val="2"/>
          <c:tx>
            <c:strRef>
              <c:f>IndirectCO2!$B$51</c:f>
              <c:strCache>
                <c:ptCount val="1"/>
                <c:pt idx="0">
                  <c:v>Industrial</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numRef>
              <c:f>[0]!ChartRange_IndirectCO2_Year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[0]!ChartRange_IndirectCO2_Industrial</c:f>
              <c:numCache>
                <c:formatCode>_(* #,##0.00_);_(* \(#,##0.00\);_(* "-"??_);_(@_)</c:formatCode>
                <c:ptCount val="31"/>
                <c:pt idx="0">
                  <c:v>21.450607906801288</c:v>
                </c:pt>
                <c:pt idx="1">
                  <c:v>21.676333053582837</c:v>
                </c:pt>
                <c:pt idx="2">
                  <c:v>22.323753088327628</c:v>
                </c:pt>
                <c:pt idx="3">
                  <c:v>21.969567776510242</c:v>
                </c:pt>
                <c:pt idx="4">
                  <c:v>22.796960022544361</c:v>
                </c:pt>
                <c:pt idx="5">
                  <c:v>23.062039092861166</c:v>
                </c:pt>
                <c:pt idx="6">
                  <c:v>23.156104568628379</c:v>
                </c:pt>
                <c:pt idx="7">
                  <c:v>23.381989690708853</c:v>
                </c:pt>
                <c:pt idx="8">
                  <c:v>23.676824166625494</c:v>
                </c:pt>
                <c:pt idx="9">
                  <c:v>22.909742608285665</c:v>
                </c:pt>
                <c:pt idx="10">
                  <c:v>22.346149630176964</c:v>
                </c:pt>
                <c:pt idx="11">
                  <c:v>22.259123067562403</c:v>
                </c:pt>
                <c:pt idx="12">
                  <c:v>21.444528845442189</c:v>
                </c:pt>
                <c:pt idx="13">
                  <c:v>23.493812424656614</c:v>
                </c:pt>
                <c:pt idx="14">
                  <c:v>26.204433889622202</c:v>
                </c:pt>
                <c:pt idx="15">
                  <c:v>25.047492527804966</c:v>
                </c:pt>
                <c:pt idx="16">
                  <c:v>24.376515344738554</c:v>
                </c:pt>
                <c:pt idx="17">
                  <c:v>24.513144469682757</c:v>
                </c:pt>
                <c:pt idx="18">
                  <c:v>24.038246321464179</c:v>
                </c:pt>
                <c:pt idx="19">
                  <c:v>21.461427364973055</c:v>
                </c:pt>
                <c:pt idx="20">
                  <c:v>22.945367059530998</c:v>
                </c:pt>
                <c:pt idx="21">
                  <c:v>22.877305480087205</c:v>
                </c:pt>
                <c:pt idx="22">
                  <c:v>22.666257927840917</c:v>
                </c:pt>
                <c:pt idx="23">
                  <c:v>21.656992865087449</c:v>
                </c:pt>
                <c:pt idx="24">
                  <c:v>21.091318401799317</c:v>
                </c:pt>
                <c:pt idx="25">
                  <c:v>18.61348723934314</c:v>
                </c:pt>
                <c:pt idx="26">
                  <c:v>16.909992963234075</c:v>
                </c:pt>
                <c:pt idx="27">
                  <c:v>16.621413420797012</c:v>
                </c:pt>
                <c:pt idx="28">
                  <c:v>17.101342302748368</c:v>
                </c:pt>
                <c:pt idx="29">
                  <c:v>15.004302823128217</c:v>
                </c:pt>
                <c:pt idx="30">
                  <c:v>10.758083067298163</c:v>
                </c:pt>
              </c:numCache>
            </c:numRef>
          </c:val>
          <c:smooth val="0"/>
          <c:extLst>
            <c:ext xmlns:c16="http://schemas.microsoft.com/office/drawing/2014/chart" uri="{C3380CC4-5D6E-409C-BE32-E72D297353CC}">
              <c16:uniqueId val="{00000002-8FA1-4467-953F-B9D738D748A6}"/>
            </c:ext>
          </c:extLst>
        </c:ser>
        <c:ser>
          <c:idx val="3"/>
          <c:order val="3"/>
          <c:tx>
            <c:strRef>
              <c:f>IndirectCO2!$B$52</c:f>
              <c:strCache>
                <c:ptCount val="1"/>
                <c:pt idx="0">
                  <c:v>Transportation</c:v>
                </c:pt>
              </c:strCache>
            </c:strRef>
          </c:tx>
          <c:spPr>
            <a:ln w="12700">
              <a:solidFill>
                <a:srgbClr val="FF0000"/>
              </a:solidFill>
              <a:prstDash val="solid"/>
            </a:ln>
          </c:spPr>
          <c:marker>
            <c:symbol val="x"/>
            <c:size val="5"/>
            <c:spPr>
              <a:noFill/>
              <a:ln>
                <a:solidFill>
                  <a:srgbClr val="FF0000"/>
                </a:solidFill>
                <a:prstDash val="solid"/>
              </a:ln>
            </c:spPr>
          </c:marker>
          <c:cat>
            <c:numRef>
              <c:f>[0]!ChartRange_IndirectCO2_Year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[0]!ChartRange_IndirectCO2_Transportation</c:f>
              <c:numCache>
                <c:formatCode>_(* #,##0.00_);_(* \(#,##0.00\);_(* "-"??_);_(@_)</c:formatCode>
                <c:ptCount val="31"/>
                <c:pt idx="0">
                  <c:v>0.22252564080306519</c:v>
                </c:pt>
                <c:pt idx="1">
                  <c:v>0.2303644304503335</c:v>
                </c:pt>
                <c:pt idx="2">
                  <c:v>0.22460531968907513</c:v>
                </c:pt>
                <c:pt idx="3">
                  <c:v>0.22364546789553214</c:v>
                </c:pt>
                <c:pt idx="4">
                  <c:v>0.2206059372159791</c:v>
                </c:pt>
                <c:pt idx="5">
                  <c:v>0.21436690055794927</c:v>
                </c:pt>
                <c:pt idx="6">
                  <c:v>0.23292403523311503</c:v>
                </c:pt>
                <c:pt idx="7">
                  <c:v>0.23260408463526733</c:v>
                </c:pt>
                <c:pt idx="8">
                  <c:v>0.2303644304503335</c:v>
                </c:pt>
                <c:pt idx="9">
                  <c:v>0.23852317069544945</c:v>
                </c:pt>
                <c:pt idx="10">
                  <c:v>0.25068129341366152</c:v>
                </c:pt>
                <c:pt idx="11">
                  <c:v>0.24956146632119464</c:v>
                </c:pt>
                <c:pt idx="12">
                  <c:v>0.25947993485447285</c:v>
                </c:pt>
                <c:pt idx="13">
                  <c:v>0.26411921852326431</c:v>
                </c:pt>
                <c:pt idx="14">
                  <c:v>0.24284250376639321</c:v>
                </c:pt>
                <c:pt idx="15">
                  <c:v>0.28827548866076463</c:v>
                </c:pt>
                <c:pt idx="16">
                  <c:v>0.28169266043869357</c:v>
                </c:pt>
                <c:pt idx="17">
                  <c:v>0.29430069324215274</c:v>
                </c:pt>
                <c:pt idx="18">
                  <c:v>0.29897430484131049</c:v>
                </c:pt>
                <c:pt idx="19">
                  <c:v>0.2726189095668537</c:v>
                </c:pt>
                <c:pt idx="20">
                  <c:v>0.29088313520869108</c:v>
                </c:pt>
                <c:pt idx="21">
                  <c:v>0.26344905008831992</c:v>
                </c:pt>
                <c:pt idx="22">
                  <c:v>0.27671300790298198</c:v>
                </c:pt>
                <c:pt idx="23">
                  <c:v>0.27970708126955152</c:v>
                </c:pt>
                <c:pt idx="24">
                  <c:v>0.27679627529749251</c:v>
                </c:pt>
                <c:pt idx="25">
                  <c:v>0.22602507234684346</c:v>
                </c:pt>
                <c:pt idx="26">
                  <c:v>0.20093622408485864</c:v>
                </c:pt>
                <c:pt idx="27">
                  <c:v>0.20122639290333044</c:v>
                </c:pt>
                <c:pt idx="28">
                  <c:v>0.21371139106338524</c:v>
                </c:pt>
                <c:pt idx="29">
                  <c:v>0.19775815702939181</c:v>
                </c:pt>
                <c:pt idx="30">
                  <c:v>0.11991095811890179</c:v>
                </c:pt>
              </c:numCache>
            </c:numRef>
          </c:val>
          <c:smooth val="0"/>
          <c:extLst>
            <c:ext xmlns:c16="http://schemas.microsoft.com/office/drawing/2014/chart" uri="{C3380CC4-5D6E-409C-BE32-E72D297353CC}">
              <c16:uniqueId val="{00000003-8FA1-4467-953F-B9D738D748A6}"/>
            </c:ext>
          </c:extLst>
        </c:ser>
        <c:ser>
          <c:idx val="4"/>
          <c:order val="4"/>
          <c:tx>
            <c:v>Additional Emissions Source</c:v>
          </c:tx>
          <c:val>
            <c:numRef>
              <c:f>IndirectCO2!$C$53:$AG$53</c:f>
              <c:numCache>
                <c:formatCode>_(* #,##0.00_);_(* \(#,##0.00\);_(* "-"??_);_(@_)</c:formatCode>
                <c:ptCount val="31"/>
              </c:numCache>
            </c:numRef>
          </c:val>
          <c:smooth val="0"/>
          <c:extLst>
            <c:ext xmlns:c16="http://schemas.microsoft.com/office/drawing/2014/chart" uri="{C3380CC4-5D6E-409C-BE32-E72D297353CC}">
              <c16:uniqueId val="{00000001-91B8-4A4F-B729-EDADD3333DBA}"/>
            </c:ext>
          </c:extLst>
        </c:ser>
        <c:dLbls>
          <c:showLegendKey val="0"/>
          <c:showVal val="0"/>
          <c:showCatName val="0"/>
          <c:showSerName val="0"/>
          <c:showPercent val="0"/>
          <c:showBubbleSize val="0"/>
        </c:dLbls>
        <c:marker val="1"/>
        <c:smooth val="0"/>
        <c:axId val="218838208"/>
        <c:axId val="218838600"/>
      </c:lineChart>
      <c:catAx>
        <c:axId val="218838208"/>
        <c:scaling>
          <c:orientation val="minMax"/>
        </c:scaling>
        <c:delete val="0"/>
        <c:axPos val="b"/>
        <c:title>
          <c:tx>
            <c:rich>
              <a:bodyPr/>
              <a:lstStyle/>
              <a:p>
                <a:pPr>
                  <a:defRPr sz="900" b="1" i="0" u="none" strike="noStrike" baseline="0">
                    <a:solidFill>
                      <a:srgbClr val="000000"/>
                    </a:solidFill>
                    <a:latin typeface="Comic Sans MS"/>
                    <a:ea typeface="Comic Sans MS"/>
                    <a:cs typeface="Comic Sans MS"/>
                  </a:defRPr>
                </a:pPr>
                <a:r>
                  <a:rPr lang="en-US"/>
                  <a:t>Year</a:t>
                </a:r>
              </a:p>
            </c:rich>
          </c:tx>
          <c:layout>
            <c:manualLayout>
              <c:xMode val="edge"/>
              <c:yMode val="edge"/>
              <c:x val="0.51600987017427424"/>
              <c:y val="0.8904123176463407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Comic Sans MS"/>
                <a:ea typeface="Comic Sans MS"/>
                <a:cs typeface="Comic Sans MS"/>
              </a:defRPr>
            </a:pPr>
            <a:endParaRPr lang="en-US"/>
          </a:p>
        </c:txPr>
        <c:crossAx val="218838600"/>
        <c:crosses val="autoZero"/>
        <c:auto val="1"/>
        <c:lblAlgn val="ctr"/>
        <c:lblOffset val="100"/>
        <c:tickLblSkip val="1"/>
        <c:tickMarkSkip val="1"/>
        <c:noMultiLvlLbl val="0"/>
      </c:catAx>
      <c:valAx>
        <c:axId val="218838600"/>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US" sz="900" b="1" i="0" u="none" strike="noStrike" baseline="0">
                    <a:solidFill>
                      <a:srgbClr val="000000"/>
                    </a:solidFill>
                    <a:latin typeface="Comic Sans MS"/>
                  </a:rPr>
                  <a:t>Emissions (MMTCO</a:t>
                </a:r>
                <a:r>
                  <a:rPr lang="en-US" sz="900" b="1" i="0" u="none" strike="noStrike" baseline="-25000">
                    <a:solidFill>
                      <a:srgbClr val="000000"/>
                    </a:solidFill>
                    <a:latin typeface="Comic Sans MS"/>
                  </a:rPr>
                  <a:t>2</a:t>
                </a:r>
                <a:r>
                  <a:rPr lang="en-US" sz="900" b="1" i="0" u="none" strike="noStrike" baseline="0">
                    <a:solidFill>
                      <a:srgbClr val="000000"/>
                    </a:solidFill>
                    <a:latin typeface="Comic Sans MS"/>
                  </a:rPr>
                  <a:t>E)</a:t>
                </a:r>
              </a:p>
            </c:rich>
          </c:tx>
          <c:layout>
            <c:manualLayout>
              <c:xMode val="edge"/>
              <c:yMode val="edge"/>
              <c:x val="6.1576713830311441E-3"/>
              <c:y val="0.28424700909479339"/>
            </c:manualLayout>
          </c:layout>
          <c:overlay val="0"/>
          <c:spPr>
            <a:noFill/>
            <a:ln w="25400">
              <a:noFill/>
            </a:ln>
          </c:spPr>
        </c:title>
        <c:numFmt formatCode="_(* #,##0.00_);_(* \(#,##0.00\);_(* &quot;-&quot;??_);_(@_)"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Comic Sans MS"/>
                <a:ea typeface="Comic Sans MS"/>
                <a:cs typeface="Comic Sans MS"/>
              </a:defRPr>
            </a:pPr>
            <a:endParaRPr lang="en-US"/>
          </a:p>
        </c:txPr>
        <c:crossAx val="218838208"/>
        <c:crosses val="autoZero"/>
        <c:crossBetween val="between"/>
      </c:valAx>
      <c:spPr>
        <a:noFill/>
        <a:ln w="25400">
          <a:noFill/>
        </a:ln>
      </c:spPr>
    </c:plotArea>
    <c:legend>
      <c:legendPos val="r"/>
      <c:layout>
        <c:manualLayout>
          <c:xMode val="edge"/>
          <c:yMode val="edge"/>
          <c:x val="0.13049856385876293"/>
          <c:y val="0.14094020781648872"/>
          <c:w val="0.83005608379141294"/>
          <c:h val="8.3496925897961385E-2"/>
        </c:manualLayout>
      </c:layout>
      <c:overlay val="0"/>
      <c:spPr>
        <a:solidFill>
          <a:srgbClr val="FFFFFF"/>
        </a:solidFill>
        <a:ln w="25400">
          <a:noFill/>
        </a:ln>
      </c:spPr>
      <c:txPr>
        <a:bodyPr/>
        <a:lstStyle/>
        <a:p>
          <a:pPr>
            <a:defRPr sz="84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orientation="landscape" horizontalDpi="1200"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Gas'!$S$66</c:f>
          <c:strCache>
            <c:ptCount val="1"/>
            <c:pt idx="0">
              <c:v>Nitrous Oxide Emissions by Source, 1990-2025</c:v>
            </c:pt>
          </c:strCache>
        </c:strRef>
      </c:tx>
      <c:layout>
        <c:manualLayout>
          <c:xMode val="edge"/>
          <c:yMode val="edge"/>
          <c:x val="0.27444587892422539"/>
          <c:y val="3.7708922146321114E-2"/>
        </c:manualLayout>
      </c:layout>
      <c:overlay val="0"/>
      <c:spPr>
        <a:noFill/>
        <a:ln w="25400">
          <a:noFill/>
        </a:ln>
      </c:spPr>
      <c:txPr>
        <a:bodyPr/>
        <a:lstStyle/>
        <a:p>
          <a:pPr algn="ct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6.9343148075326086E-2"/>
          <c:y val="0.1111113264030847"/>
          <c:w val="0.73236096739204037"/>
          <c:h val="0.78174754647884592"/>
        </c:manualLayout>
      </c:layout>
      <c:lineChart>
        <c:grouping val="standard"/>
        <c:varyColors val="0"/>
        <c:ser>
          <c:idx val="1"/>
          <c:order val="0"/>
          <c:tx>
            <c:strRef>
              <c:f>'Summary by Gas'!$B$22</c:f>
              <c:strCache>
                <c:ptCount val="1"/>
                <c:pt idx="0">
                  <c:v>Stationary Combustion</c:v>
                </c:pt>
              </c:strCache>
            </c:strRef>
          </c:tx>
          <c:spPr>
            <a:ln w="12700">
              <a:solidFill>
                <a:srgbClr val="800080"/>
              </a:solidFill>
              <a:prstDash val="solid"/>
            </a:ln>
          </c:spPr>
          <c:marker>
            <c:symbol val="square"/>
            <c:size val="5"/>
            <c:spPr>
              <a:solidFill>
                <a:srgbClr val="800080"/>
              </a:solidFill>
              <a:ln>
                <a:solidFill>
                  <a:srgbClr val="80008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[0]!ChartRange_SummaryGas_N2O_Stationary_Combustion</c:f>
              <c:numCache>
                <c:formatCode>_(* #,##0.00_);_(* \(#,##0.00\);_(* "-"??_);_(@_)</c:formatCode>
                <c:ptCount val="36"/>
                <c:pt idx="0">
                  <c:v>0.40948338214999996</c:v>
                </c:pt>
                <c:pt idx="1">
                  <c:v>0.41362034577749995</c:v>
                </c:pt>
                <c:pt idx="2">
                  <c:v>0.39366119833999991</c:v>
                </c:pt>
                <c:pt idx="3">
                  <c:v>0.42019620589999995</c:v>
                </c:pt>
                <c:pt idx="4">
                  <c:v>0.42918212097749997</c:v>
                </c:pt>
                <c:pt idx="5">
                  <c:v>0.43070203019999997</c:v>
                </c:pt>
                <c:pt idx="6">
                  <c:v>0.47381429136999997</c:v>
                </c:pt>
                <c:pt idx="7">
                  <c:v>0.48837756896250006</c:v>
                </c:pt>
                <c:pt idx="8">
                  <c:v>0.46883539822999998</c:v>
                </c:pt>
                <c:pt idx="9">
                  <c:v>0.47770695878499997</c:v>
                </c:pt>
                <c:pt idx="10">
                  <c:v>0.49665552302499999</c:v>
                </c:pt>
                <c:pt idx="11">
                  <c:v>0.48790511039999995</c:v>
                </c:pt>
                <c:pt idx="12">
                  <c:v>0.49023401996999999</c:v>
                </c:pt>
                <c:pt idx="13">
                  <c:v>0.49964282429999984</c:v>
                </c:pt>
                <c:pt idx="14">
                  <c:v>0.52212145088999995</c:v>
                </c:pt>
                <c:pt idx="15">
                  <c:v>0.50319261126250003</c:v>
                </c:pt>
                <c:pt idx="16">
                  <c:v>0.49901435771999991</c:v>
                </c:pt>
                <c:pt idx="17">
                  <c:v>0.51788745221249999</c:v>
                </c:pt>
                <c:pt idx="18">
                  <c:v>0.52502344442499993</c:v>
                </c:pt>
                <c:pt idx="19">
                  <c:v>0.48927317554999988</c:v>
                </c:pt>
                <c:pt idx="20">
                  <c:v>0.51449703254000001</c:v>
                </c:pt>
                <c:pt idx="21">
                  <c:v>0.50407112627750006</c:v>
                </c:pt>
                <c:pt idx="22">
                  <c:v>0.46599262702749988</c:v>
                </c:pt>
                <c:pt idx="23">
                  <c:v>0.49851270795000002</c:v>
                </c:pt>
                <c:pt idx="24">
                  <c:v>0.49730552072249989</c:v>
                </c:pt>
                <c:pt idx="25">
                  <c:v>0.41844355857249999</c:v>
                </c:pt>
                <c:pt idx="26">
                  <c:v>0.360590404355</c:v>
                </c:pt>
                <c:pt idx="27">
                  <c:v>0.35293806719499998</c:v>
                </c:pt>
                <c:pt idx="28">
                  <c:v>0.36482225109999999</c:v>
                </c:pt>
                <c:pt idx="29">
                  <c:v>0.32397621109999991</c:v>
                </c:pt>
                <c:pt idx="30">
                  <c:v>0.24188339014999996</c:v>
                </c:pt>
                <c:pt idx="31">
                  <c:v>0</c:v>
                </c:pt>
                <c:pt idx="32">
                  <c:v>0</c:v>
                </c:pt>
                <c:pt idx="33">
                  <c:v>0</c:v>
                </c:pt>
                <c:pt idx="34">
                  <c:v>0</c:v>
                </c:pt>
                <c:pt idx="35">
                  <c:v>0</c:v>
                </c:pt>
              </c:numCache>
            </c:numRef>
          </c:val>
          <c:smooth val="0"/>
          <c:extLst>
            <c:ext xmlns:c16="http://schemas.microsoft.com/office/drawing/2014/chart" uri="{C3380CC4-5D6E-409C-BE32-E72D297353CC}">
              <c16:uniqueId val="{00000000-B704-482B-BE20-BD8A1CAB3755}"/>
            </c:ext>
          </c:extLst>
        </c:ser>
        <c:ser>
          <c:idx val="2"/>
          <c:order val="1"/>
          <c:tx>
            <c:strRef>
              <c:f>'Summary by Gas'!$B$23</c:f>
              <c:strCache>
                <c:ptCount val="1"/>
                <c:pt idx="0">
                  <c:v>Mobile Combustion</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[0]!ChartRange_SummaryGas_N2O_Mobile_Combustion</c:f>
              <c:numCache>
                <c:formatCode>_(* #,##0.00_);_(* \(#,##0.00\);_(* "-"??_);_(@_)</c:formatCode>
                <c:ptCount val="36"/>
                <c:pt idx="0">
                  <c:v>1.4875403682173298</c:v>
                </c:pt>
                <c:pt idx="1">
                  <c:v>1.5724105621291458</c:v>
                </c:pt>
                <c:pt idx="2">
                  <c:v>1.6666863897213338</c:v>
                </c:pt>
                <c:pt idx="3">
                  <c:v>1.8128593107345854</c:v>
                </c:pt>
                <c:pt idx="4">
                  <c:v>1.8440129482949617</c:v>
                </c:pt>
                <c:pt idx="5">
                  <c:v>1.892809986292411</c:v>
                </c:pt>
                <c:pt idx="6">
                  <c:v>1.9430698408278455</c:v>
                </c:pt>
                <c:pt idx="7">
                  <c:v>1.9702907685260345</c:v>
                </c:pt>
                <c:pt idx="8">
                  <c:v>1.992824817134571</c:v>
                </c:pt>
                <c:pt idx="9">
                  <c:v>1.8899503800881086</c:v>
                </c:pt>
                <c:pt idx="10">
                  <c:v>1.8406194585723812</c:v>
                </c:pt>
                <c:pt idx="11">
                  <c:v>1.7122408601172727</c:v>
                </c:pt>
                <c:pt idx="12">
                  <c:v>1.6464224347391134</c:v>
                </c:pt>
                <c:pt idx="13">
                  <c:v>1.6041140320289899</c:v>
                </c:pt>
                <c:pt idx="14">
                  <c:v>1.5177404214161847</c:v>
                </c:pt>
                <c:pt idx="15">
                  <c:v>1.4716033589929383</c:v>
                </c:pt>
                <c:pt idx="16">
                  <c:v>1.3630965365742913</c:v>
                </c:pt>
                <c:pt idx="17">
                  <c:v>1.1833480119730997</c:v>
                </c:pt>
                <c:pt idx="18">
                  <c:v>1.1068434074395814</c:v>
                </c:pt>
                <c:pt idx="19">
                  <c:v>0.97500011329151215</c:v>
                </c:pt>
                <c:pt idx="20">
                  <c:v>1.037892475778293</c:v>
                </c:pt>
                <c:pt idx="21">
                  <c:v>0.98432734503070229</c:v>
                </c:pt>
                <c:pt idx="22">
                  <c:v>0.93089005787514523</c:v>
                </c:pt>
                <c:pt idx="23">
                  <c:v>0.86920938452923679</c:v>
                </c:pt>
                <c:pt idx="24">
                  <c:v>0.81868595304086411</c:v>
                </c:pt>
                <c:pt idx="25">
                  <c:v>0.73588061860807752</c:v>
                </c:pt>
                <c:pt idx="26">
                  <c:v>0.70728883175147084</c:v>
                </c:pt>
                <c:pt idx="27">
                  <c:v>0.67426933813328183</c:v>
                </c:pt>
                <c:pt idx="28">
                  <c:v>0.6416569309809953</c:v>
                </c:pt>
                <c:pt idx="29">
                  <c:v>0.65578969490975247</c:v>
                </c:pt>
                <c:pt idx="30">
                  <c:v>0.52963670960885134</c:v>
                </c:pt>
                <c:pt idx="31">
                  <c:v>0</c:v>
                </c:pt>
                <c:pt idx="32">
                  <c:v>0</c:v>
                </c:pt>
                <c:pt idx="33">
                  <c:v>0</c:v>
                </c:pt>
                <c:pt idx="34">
                  <c:v>0</c:v>
                </c:pt>
                <c:pt idx="35">
                  <c:v>0</c:v>
                </c:pt>
              </c:numCache>
            </c:numRef>
          </c:val>
          <c:smooth val="0"/>
          <c:extLst>
            <c:ext xmlns:c16="http://schemas.microsoft.com/office/drawing/2014/chart" uri="{C3380CC4-5D6E-409C-BE32-E72D297353CC}">
              <c16:uniqueId val="{00000001-B704-482B-BE20-BD8A1CAB3755}"/>
            </c:ext>
          </c:extLst>
        </c:ser>
        <c:ser>
          <c:idx val="3"/>
          <c:order val="2"/>
          <c:tx>
            <c:strRef>
              <c:f>'Summary by Gas'!$B$24</c:f>
              <c:strCache>
                <c:ptCount val="1"/>
                <c:pt idx="0">
                  <c:v>Industrial Processes</c:v>
                </c:pt>
              </c:strCache>
            </c:strRef>
          </c:tx>
          <c:spPr>
            <a:ln w="12700">
              <a:solidFill>
                <a:srgbClr val="0000FF"/>
              </a:solidFill>
              <a:prstDash val="solid"/>
            </a:ln>
          </c:spPr>
          <c:marker>
            <c:symbol val="x"/>
            <c:size val="5"/>
            <c:spPr>
              <a:noFill/>
              <a:ln>
                <a:solidFill>
                  <a:srgbClr val="0000FF"/>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[0]!ChartRange_SummaryGas_N2O_Industrial_Processes</c:f>
              <c:numCache>
                <c:formatCode>_(* #,##0.00_);_(* \(#,##0.00\);_(* "-"??_);_(@_)</c:formatCode>
                <c:ptCount val="3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2-B704-482B-BE20-BD8A1CAB3755}"/>
            </c:ext>
          </c:extLst>
        </c:ser>
        <c:ser>
          <c:idx val="4"/>
          <c:order val="3"/>
          <c:tx>
            <c:strRef>
              <c:f>'Summary by Gas'!$B$25</c:f>
              <c:strCache>
                <c:ptCount val="1"/>
                <c:pt idx="0">
                  <c:v>Agriculture</c:v>
                </c:pt>
              </c:strCache>
            </c:strRef>
          </c:tx>
          <c:spPr>
            <a:ln w="12700">
              <a:solidFill>
                <a:srgbClr val="339966"/>
              </a:solidFill>
              <a:prstDash val="solid"/>
            </a:ln>
          </c:spPr>
          <c:marker>
            <c:symbol val="plus"/>
            <c:size val="5"/>
            <c:spPr>
              <a:noFill/>
              <a:ln>
                <a:solidFill>
                  <a:srgbClr val="339966"/>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[0]!ChartRange_SummaryGas_N2O_Manure_Management</c:f>
              <c:numCache>
                <c:formatCode>_(* #,##0.00_);_(* \(#,##0.00\);_(* "-"??_);_(@_)</c:formatCode>
                <c:ptCount val="36"/>
                <c:pt idx="0">
                  <c:v>23.126655827885592</c:v>
                </c:pt>
                <c:pt idx="1">
                  <c:v>21.770604103675147</c:v>
                </c:pt>
                <c:pt idx="2">
                  <c:v>22.498813309933567</c:v>
                </c:pt>
                <c:pt idx="3">
                  <c:v>24.031120511432512</c:v>
                </c:pt>
                <c:pt idx="4">
                  <c:v>23.035608494447438</c:v>
                </c:pt>
                <c:pt idx="5">
                  <c:v>21.857969363172973</c:v>
                </c:pt>
                <c:pt idx="6">
                  <c:v>22.895258655146961</c:v>
                </c:pt>
                <c:pt idx="7">
                  <c:v>21.608814155055736</c:v>
                </c:pt>
                <c:pt idx="8">
                  <c:v>22.426108972332237</c:v>
                </c:pt>
                <c:pt idx="9">
                  <c:v>21.962169369286144</c:v>
                </c:pt>
                <c:pt idx="10">
                  <c:v>21.522028874413611</c:v>
                </c:pt>
                <c:pt idx="11">
                  <c:v>22.474516151605116</c:v>
                </c:pt>
                <c:pt idx="12">
                  <c:v>21.733280211113318</c:v>
                </c:pt>
                <c:pt idx="13">
                  <c:v>20.889010857551924</c:v>
                </c:pt>
                <c:pt idx="14">
                  <c:v>22.923256913435885</c:v>
                </c:pt>
                <c:pt idx="15">
                  <c:v>20.879448821048719</c:v>
                </c:pt>
                <c:pt idx="16">
                  <c:v>21.97319638000716</c:v>
                </c:pt>
                <c:pt idx="17">
                  <c:v>21.264027371572148</c:v>
                </c:pt>
                <c:pt idx="18">
                  <c:v>22.365393045528794</c:v>
                </c:pt>
                <c:pt idx="19">
                  <c:v>20.958660063518032</c:v>
                </c:pt>
                <c:pt idx="20">
                  <c:v>20.906000433673618</c:v>
                </c:pt>
                <c:pt idx="21">
                  <c:v>21.843811195216375</c:v>
                </c:pt>
                <c:pt idx="22">
                  <c:v>19.789279645560466</c:v>
                </c:pt>
                <c:pt idx="23">
                  <c:v>23.562659206657973</c:v>
                </c:pt>
                <c:pt idx="24">
                  <c:v>25.046568397742824</c:v>
                </c:pt>
                <c:pt idx="25">
                  <c:v>23.727687459500711</c:v>
                </c:pt>
                <c:pt idx="26">
                  <c:v>22.950919508332738</c:v>
                </c:pt>
                <c:pt idx="27">
                  <c:v>24.019812104022353</c:v>
                </c:pt>
                <c:pt idx="28">
                  <c:v>26.228278455182394</c:v>
                </c:pt>
                <c:pt idx="29">
                  <c:v>23.818907455101854</c:v>
                </c:pt>
                <c:pt idx="30">
                  <c:v>22.988042543133762</c:v>
                </c:pt>
                <c:pt idx="31">
                  <c:v>21.997690040529505</c:v>
                </c:pt>
                <c:pt idx="32">
                  <c:v>0</c:v>
                </c:pt>
                <c:pt idx="33">
                  <c:v>0</c:v>
                </c:pt>
                <c:pt idx="34">
                  <c:v>0</c:v>
                </c:pt>
                <c:pt idx="35">
                  <c:v>0</c:v>
                </c:pt>
              </c:numCache>
            </c:numRef>
          </c:val>
          <c:smooth val="0"/>
          <c:extLst>
            <c:ext xmlns:c16="http://schemas.microsoft.com/office/drawing/2014/chart" uri="{C3380CC4-5D6E-409C-BE32-E72D297353CC}">
              <c16:uniqueId val="{00000003-B704-482B-BE20-BD8A1CAB3755}"/>
            </c:ext>
          </c:extLst>
        </c:ser>
        <c:ser>
          <c:idx val="5"/>
          <c:order val="4"/>
          <c:tx>
            <c:strRef>
              <c:f>'Summary by Gas'!$B$26</c:f>
              <c:strCache>
                <c:ptCount val="1"/>
                <c:pt idx="0">
                  <c:v>LULUCF</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[0]!ChartRange_SummaryGas_N2O_Agricultural_Soil_Management</c:f>
              <c:numCache>
                <c:formatCode>_(* #,##0.00_);_(* \(#,##0.00\);_(* "-"??_);_(@_)</c:formatCode>
                <c:ptCount val="36"/>
                <c:pt idx="0">
                  <c:v>0.35335184608777831</c:v>
                </c:pt>
                <c:pt idx="1">
                  <c:v>0.37290614589720966</c:v>
                </c:pt>
                <c:pt idx="2">
                  <c:v>0.34808838348910698</c:v>
                </c:pt>
                <c:pt idx="3">
                  <c:v>0.34829916452630211</c:v>
                </c:pt>
                <c:pt idx="4">
                  <c:v>0.36903447281047042</c:v>
                </c:pt>
                <c:pt idx="5">
                  <c:v>0.35608195068595</c:v>
                </c:pt>
                <c:pt idx="6">
                  <c:v>0.38884853252881008</c:v>
                </c:pt>
                <c:pt idx="7">
                  <c:v>0.37233902609608538</c:v>
                </c:pt>
                <c:pt idx="8">
                  <c:v>0.37151775638408541</c:v>
                </c:pt>
                <c:pt idx="9">
                  <c:v>0.36451033995253346</c:v>
                </c:pt>
                <c:pt idx="10">
                  <c:v>0.33803925256865763</c:v>
                </c:pt>
                <c:pt idx="11">
                  <c:v>0.32567213468329409</c:v>
                </c:pt>
                <c:pt idx="12">
                  <c:v>0.3146595763229183</c:v>
                </c:pt>
                <c:pt idx="13">
                  <c:v>0.32627516224960423</c:v>
                </c:pt>
                <c:pt idx="14">
                  <c:v>0.36700406907804106</c:v>
                </c:pt>
                <c:pt idx="15">
                  <c:v>0.35070332257210907</c:v>
                </c:pt>
                <c:pt idx="16">
                  <c:v>0.36938146157767837</c:v>
                </c:pt>
                <c:pt idx="17">
                  <c:v>0.39261911231766711</c:v>
                </c:pt>
                <c:pt idx="18">
                  <c:v>0.38953470895485076</c:v>
                </c:pt>
                <c:pt idx="19">
                  <c:v>0.36651180591733279</c:v>
                </c:pt>
                <c:pt idx="20">
                  <c:v>0.34457336795396287</c:v>
                </c:pt>
                <c:pt idx="21">
                  <c:v>0.41355344034426617</c:v>
                </c:pt>
                <c:pt idx="22">
                  <c:v>0.42134749668773969</c:v>
                </c:pt>
                <c:pt idx="23">
                  <c:v>0.40408286940870697</c:v>
                </c:pt>
                <c:pt idx="24">
                  <c:v>0.42161798548177443</c:v>
                </c:pt>
                <c:pt idx="25">
                  <c:v>0.42161798548177443</c:v>
                </c:pt>
                <c:pt idx="26">
                  <c:v>0.42161798548177443</c:v>
                </c:pt>
                <c:pt idx="27">
                  <c:v>0.42161798548177443</c:v>
                </c:pt>
                <c:pt idx="28">
                  <c:v>0.42161798548177443</c:v>
                </c:pt>
                <c:pt idx="29">
                  <c:v>0.42161798548177443</c:v>
                </c:pt>
                <c:pt idx="30">
                  <c:v>0.42161798548177443</c:v>
                </c:pt>
                <c:pt idx="31">
                  <c:v>0</c:v>
                </c:pt>
                <c:pt idx="32">
                  <c:v>0</c:v>
                </c:pt>
                <c:pt idx="33">
                  <c:v>0</c:v>
                </c:pt>
                <c:pt idx="34">
                  <c:v>0</c:v>
                </c:pt>
                <c:pt idx="35">
                  <c:v>0</c:v>
                </c:pt>
              </c:numCache>
            </c:numRef>
          </c:val>
          <c:smooth val="0"/>
          <c:extLst>
            <c:ext xmlns:c16="http://schemas.microsoft.com/office/drawing/2014/chart" uri="{C3380CC4-5D6E-409C-BE32-E72D297353CC}">
              <c16:uniqueId val="{00000004-B704-482B-BE20-BD8A1CAB3755}"/>
            </c:ext>
          </c:extLst>
        </c:ser>
        <c:ser>
          <c:idx val="9"/>
          <c:order val="5"/>
          <c:tx>
            <c:strRef>
              <c:f>'Summary by Gas'!$B$27</c:f>
              <c:strCache>
                <c:ptCount val="1"/>
                <c:pt idx="0">
                  <c:v>Waste</c:v>
                </c:pt>
              </c:strCache>
            </c:strRef>
          </c:tx>
          <c:spPr>
            <a:ln w="12700">
              <a:solidFill>
                <a:srgbClr val="33CCCC"/>
              </a:solidFill>
              <a:prstDash val="solid"/>
            </a:ln>
          </c:spPr>
          <c:marker>
            <c:symbol val="square"/>
            <c:size val="5"/>
            <c:spPr>
              <a:solidFill>
                <a:srgbClr val="33CCCC"/>
              </a:solidFill>
              <a:ln>
                <a:solidFill>
                  <a:srgbClr val="33CCCC"/>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[0]!ChartRange_SummaryGas_N2O_Waste</c:f>
              <c:numCache>
                <c:formatCode>_(* #,##0.00_);_(* \(#,##0.00\);_(* "-"??_);_(@_)</c:formatCode>
                <c:ptCount val="36"/>
                <c:pt idx="0">
                  <c:v>3.1492918249100086E-3</c:v>
                </c:pt>
                <c:pt idx="1">
                  <c:v>3.5098977590600098E-3</c:v>
                </c:pt>
                <c:pt idx="2">
                  <c:v>3.3993119392540091E-3</c:v>
                </c:pt>
                <c:pt idx="3">
                  <c:v>3.5377846179676094E-3</c:v>
                </c:pt>
                <c:pt idx="4">
                  <c:v>3.6060593415000093E-3</c:v>
                </c:pt>
                <c:pt idx="5">
                  <c:v>1.7091519258929544E-3</c:v>
                </c:pt>
                <c:pt idx="6">
                  <c:v>1.6107065058700042E-3</c:v>
                </c:pt>
                <c:pt idx="7">
                  <c:v>0</c:v>
                </c:pt>
                <c:pt idx="8">
                  <c:v>1.598686308065004E-3</c:v>
                </c:pt>
                <c:pt idx="9">
                  <c:v>3.2490594666915091E-3</c:v>
                </c:pt>
                <c:pt idx="10">
                  <c:v>1.8152902725111048E-3</c:v>
                </c:pt>
                <c:pt idx="11">
                  <c:v>9.1745635225943319E-4</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numCache>
            </c:numRef>
          </c:val>
          <c:smooth val="0"/>
          <c:extLst>
            <c:ext xmlns:c16="http://schemas.microsoft.com/office/drawing/2014/chart" uri="{C3380CC4-5D6E-409C-BE32-E72D297353CC}">
              <c16:uniqueId val="{00000008-B704-482B-BE20-BD8A1CAB3755}"/>
            </c:ext>
          </c:extLst>
        </c:ser>
        <c:ser>
          <c:idx val="10"/>
          <c:order val="6"/>
          <c:tx>
            <c:strRef>
              <c:f>'Summary by Gas'!$B$28</c:f>
              <c:strCache>
                <c:ptCount val="1"/>
                <c:pt idx="0">
                  <c:v>Wastewater</c:v>
                </c:pt>
              </c:strCache>
            </c:strRef>
          </c:tx>
          <c:spPr>
            <a:ln w="12700">
              <a:solidFill>
                <a:srgbClr val="FF0000"/>
              </a:solidFill>
              <a:prstDash val="solid"/>
            </a:ln>
          </c:spPr>
          <c:marker>
            <c:symbol val="triangle"/>
            <c:size val="5"/>
            <c:spPr>
              <a:solidFill>
                <a:srgbClr val="FF0000"/>
              </a:solidFill>
              <a:ln>
                <a:solidFill>
                  <a:srgbClr val="FF0000"/>
                </a:solidFill>
                <a:prstDash val="solid"/>
              </a:ln>
            </c:spPr>
          </c:marker>
          <c:cat>
            <c:numRef>
              <c:f>[0]!ChartRange_SummaryGas_Year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[0]!ChartRange_SummaryGas_N2O_Wastewater</c:f>
              <c:numCache>
                <c:formatCode>_(* #,##0.00_);_(* \(#,##0.00\);_(* "-"??_);_(@_)</c:formatCode>
                <c:ptCount val="36"/>
                <c:pt idx="0">
                  <c:v>0.29777998929022331</c:v>
                </c:pt>
                <c:pt idx="1">
                  <c:v>0.30325027828791473</c:v>
                </c:pt>
                <c:pt idx="2">
                  <c:v>0.30902276296312259</c:v>
                </c:pt>
                <c:pt idx="3">
                  <c:v>0.31207211482316938</c:v>
                </c:pt>
                <c:pt idx="4">
                  <c:v>0.31986743274139384</c:v>
                </c:pt>
                <c:pt idx="5">
                  <c:v>0.3198840902364638</c:v>
                </c:pt>
                <c:pt idx="6">
                  <c:v>0.3249533758990219</c:v>
                </c:pt>
                <c:pt idx="7">
                  <c:v>0.32460647098834183</c:v>
                </c:pt>
                <c:pt idx="8">
                  <c:v>0.32951405550392093</c:v>
                </c:pt>
                <c:pt idx="9">
                  <c:v>0.33711823482357672</c:v>
                </c:pt>
                <c:pt idx="10">
                  <c:v>0.3391678634577952</c:v>
                </c:pt>
                <c:pt idx="11">
                  <c:v>0.33532997591052627</c:v>
                </c:pt>
                <c:pt idx="12">
                  <c:v>0.33899365280026006</c:v>
                </c:pt>
                <c:pt idx="13">
                  <c:v>0.34249144180964514</c:v>
                </c:pt>
                <c:pt idx="14">
                  <c:v>0.34609338337865908</c:v>
                </c:pt>
                <c:pt idx="15">
                  <c:v>0.34127643351137121</c:v>
                </c:pt>
                <c:pt idx="16">
                  <c:v>0.34489043555142224</c:v>
                </c:pt>
                <c:pt idx="17">
                  <c:v>0.34360294990518786</c:v>
                </c:pt>
                <c:pt idx="18">
                  <c:v>0.33955914944131638</c:v>
                </c:pt>
                <c:pt idx="19">
                  <c:v>0.33815918191347949</c:v>
                </c:pt>
                <c:pt idx="20">
                  <c:v>0.33931573967472267</c:v>
                </c:pt>
                <c:pt idx="21">
                  <c:v>0.33320405002348863</c:v>
                </c:pt>
                <c:pt idx="22">
                  <c:v>0.3367446717851415</c:v>
                </c:pt>
                <c:pt idx="23">
                  <c:v>0.33684025665373679</c:v>
                </c:pt>
                <c:pt idx="24">
                  <c:v>0.3408354078970337</c:v>
                </c:pt>
                <c:pt idx="25">
                  <c:v>0.34371554082372452</c:v>
                </c:pt>
                <c:pt idx="26">
                  <c:v>0.34382627976365848</c:v>
                </c:pt>
                <c:pt idx="27">
                  <c:v>0.34419507961258111</c:v>
                </c:pt>
                <c:pt idx="28">
                  <c:v>0.34419188578243037</c:v>
                </c:pt>
                <c:pt idx="29">
                  <c:v>0.33880791614117928</c:v>
                </c:pt>
                <c:pt idx="30">
                  <c:v>0.3368126949154352</c:v>
                </c:pt>
                <c:pt idx="31">
                  <c:v>0</c:v>
                </c:pt>
                <c:pt idx="32">
                  <c:v>0</c:v>
                </c:pt>
                <c:pt idx="33">
                  <c:v>0</c:v>
                </c:pt>
                <c:pt idx="34">
                  <c:v>0</c:v>
                </c:pt>
                <c:pt idx="35">
                  <c:v>0</c:v>
                </c:pt>
              </c:numCache>
            </c:numRef>
          </c:val>
          <c:smooth val="0"/>
          <c:extLst>
            <c:ext xmlns:c16="http://schemas.microsoft.com/office/drawing/2014/chart" uri="{C3380CC4-5D6E-409C-BE32-E72D297353CC}">
              <c16:uniqueId val="{00000009-B704-482B-BE20-BD8A1CAB3755}"/>
            </c:ext>
          </c:extLst>
        </c:ser>
        <c:dLbls>
          <c:showLegendKey val="0"/>
          <c:showVal val="0"/>
          <c:showCatName val="0"/>
          <c:showSerName val="0"/>
          <c:showPercent val="0"/>
          <c:showBubbleSize val="0"/>
        </c:dLbls>
        <c:marker val="1"/>
        <c:smooth val="0"/>
        <c:axId val="223340272"/>
        <c:axId val="223340664"/>
      </c:lineChart>
      <c:catAx>
        <c:axId val="223340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3340664"/>
        <c:crosses val="autoZero"/>
        <c:auto val="1"/>
        <c:lblAlgn val="ctr"/>
        <c:lblOffset val="100"/>
        <c:tickLblSkip val="1"/>
        <c:tickMarkSkip val="1"/>
        <c:noMultiLvlLbl val="0"/>
      </c:catAx>
      <c:valAx>
        <c:axId val="22334066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827268750497099E-3"/>
              <c:y val="0.43452466419638719"/>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3340272"/>
        <c:crosses val="autoZero"/>
        <c:crossBetween val="midCat"/>
      </c:valAx>
      <c:spPr>
        <a:solidFill>
          <a:srgbClr val="FFFFFF"/>
        </a:solidFill>
        <a:ln w="12700">
          <a:solidFill>
            <a:srgbClr val="808080"/>
          </a:solidFill>
          <a:prstDash val="solid"/>
        </a:ln>
      </c:spPr>
    </c:plotArea>
    <c:legend>
      <c:legendPos val="r"/>
      <c:layout>
        <c:manualLayout>
          <c:xMode val="edge"/>
          <c:yMode val="edge"/>
          <c:x val="0.82248124279406098"/>
          <c:y val="9.8718165010001968E-2"/>
          <c:w val="0.16589159845233653"/>
          <c:h val="0.85769418690508203"/>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Gas'!$B$166</c:f>
          <c:strCache>
            <c:ptCount val="1"/>
            <c:pt idx="0">
              <c:v>GHG Emissions by Gas 2020</c:v>
            </c:pt>
          </c:strCache>
        </c:strRef>
      </c:tx>
      <c:layout>
        <c:manualLayout>
          <c:xMode val="edge"/>
          <c:yMode val="edge"/>
          <c:x val="0.32516395851281948"/>
          <c:y val="3.2085444764948935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7156890122182206"/>
          <c:y val="0.18983957219251338"/>
          <c:w val="0.46078504899575068"/>
          <c:h val="0.75401069518716579"/>
        </c:manualLayout>
      </c:layout>
      <c:pieChart>
        <c:varyColors val="1"/>
        <c:ser>
          <c:idx val="0"/>
          <c:order val="0"/>
          <c:spPr>
            <a:solidFill>
              <a:srgbClr val="9999FF"/>
            </a:solidFill>
            <a:ln w="12700">
              <a:solidFill>
                <a:srgbClr val="000000"/>
              </a:solidFill>
              <a:prstDash val="solid"/>
            </a:ln>
          </c:spPr>
          <c:dPt>
            <c:idx val="0"/>
            <c:bubble3D val="0"/>
            <c:spPr>
              <a:solidFill>
                <a:srgbClr val="0000FF"/>
              </a:solidFill>
              <a:ln w="12700">
                <a:solidFill>
                  <a:srgbClr val="000000"/>
                </a:solidFill>
                <a:prstDash val="solid"/>
              </a:ln>
            </c:spPr>
            <c:extLst>
              <c:ext xmlns:c16="http://schemas.microsoft.com/office/drawing/2014/chart" uri="{C3380CC4-5D6E-409C-BE32-E72D297353CC}">
                <c16:uniqueId val="{00000001-D19D-45B2-A1D2-AEAD539CF11B}"/>
              </c:ext>
            </c:extLst>
          </c:dPt>
          <c:dPt>
            <c:idx val="1"/>
            <c:bubble3D val="0"/>
            <c:spPr>
              <a:solidFill>
                <a:srgbClr val="008000"/>
              </a:solidFill>
              <a:ln w="12700">
                <a:solidFill>
                  <a:srgbClr val="000000"/>
                </a:solidFill>
                <a:prstDash val="solid"/>
              </a:ln>
            </c:spPr>
            <c:extLst>
              <c:ext xmlns:c16="http://schemas.microsoft.com/office/drawing/2014/chart" uri="{C3380CC4-5D6E-409C-BE32-E72D297353CC}">
                <c16:uniqueId val="{00000003-D19D-45B2-A1D2-AEAD539CF11B}"/>
              </c:ext>
            </c:extLst>
          </c:dPt>
          <c:dPt>
            <c:idx val="2"/>
            <c:bubble3D val="0"/>
            <c:spPr>
              <a:solidFill>
                <a:srgbClr val="FFCC00"/>
              </a:solidFill>
              <a:ln w="12700">
                <a:solidFill>
                  <a:srgbClr val="000000"/>
                </a:solidFill>
                <a:prstDash val="solid"/>
              </a:ln>
            </c:spPr>
            <c:extLst>
              <c:ext xmlns:c16="http://schemas.microsoft.com/office/drawing/2014/chart" uri="{C3380CC4-5D6E-409C-BE32-E72D297353CC}">
                <c16:uniqueId val="{00000005-D19D-45B2-A1D2-AEAD539CF11B}"/>
              </c:ext>
            </c:extLst>
          </c:dPt>
          <c:dPt>
            <c:idx val="3"/>
            <c:bubble3D val="0"/>
            <c:spPr>
              <a:solidFill>
                <a:srgbClr val="FFFF00"/>
              </a:solidFill>
              <a:ln w="12700">
                <a:solidFill>
                  <a:srgbClr val="000000"/>
                </a:solidFill>
                <a:prstDash val="solid"/>
              </a:ln>
            </c:spPr>
            <c:extLst>
              <c:ext xmlns:c16="http://schemas.microsoft.com/office/drawing/2014/chart" uri="{C3380CC4-5D6E-409C-BE32-E72D297353CC}">
                <c16:uniqueId val="{00000007-D19D-45B2-A1D2-AEAD539CF11B}"/>
              </c:ext>
            </c:extLst>
          </c:dPt>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Comic Sans MS"/>
                    <a:ea typeface="Comic Sans MS"/>
                    <a:cs typeface="Comic Sans MS"/>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'Summary by Gas'!$B$167:$B$170</c:f>
              <c:strCache>
                <c:ptCount val="4"/>
                <c:pt idx="0">
                  <c:v>Gross CO2</c:v>
                </c:pt>
                <c:pt idx="1">
                  <c:v>CH4</c:v>
                </c:pt>
                <c:pt idx="2">
                  <c:v>N2O</c:v>
                </c:pt>
                <c:pt idx="3">
                  <c:v>HFC, PFC, and SF6</c:v>
                </c:pt>
              </c:strCache>
            </c:strRef>
          </c:cat>
          <c:val>
            <c:numRef>
              <c:f>'Summary by Gas'!$C$168:$C$171</c:f>
              <c:numCache>
                <c:formatCode>General</c:formatCode>
                <c:ptCount val="4"/>
                <c:pt idx="0">
                  <c:v>174.90765204441078</c:v>
                </c:pt>
                <c:pt idx="1">
                  <c:v>17.797782934988305</c:v>
                </c:pt>
                <c:pt idx="2">
                  <c:v>24.517993323289822</c:v>
                </c:pt>
                <c:pt idx="3">
                  <c:v>6.2796792521486804</c:v>
                </c:pt>
              </c:numCache>
            </c:numRef>
          </c:val>
          <c:extLst>
            <c:ext xmlns:c16="http://schemas.microsoft.com/office/drawing/2014/chart" uri="{C3380CC4-5D6E-409C-BE32-E72D297353CC}">
              <c16:uniqueId val="{00000008-D19D-45B2-A1D2-AEAD539CF11B}"/>
            </c:ext>
          </c:extLst>
        </c:ser>
        <c:dLbls>
          <c:showLegendKey val="0"/>
          <c:showVal val="0"/>
          <c:showCatName val="0"/>
          <c:showSerName val="0"/>
          <c:showPercent val="0"/>
          <c:showBubbleSize val="0"/>
          <c:showLeaderLines val="1"/>
        </c:dLbls>
        <c:firstSliceAng val="0"/>
      </c:pieChart>
      <c:spPr>
        <a:noFill/>
        <a:ln w="12700">
          <a:solidFill>
            <a:srgbClr val="FFFFFF"/>
          </a:solidFill>
          <a:prstDash val="solid"/>
        </a:ln>
      </c:spPr>
    </c:plotArea>
    <c:legend>
      <c:legendPos val="r"/>
      <c:layout>
        <c:manualLayout>
          <c:xMode val="edge"/>
          <c:yMode val="edge"/>
          <c:x val="0.76666803148300688"/>
          <c:y val="0.43103538994180601"/>
          <c:w val="0.19375034491282511"/>
          <c:h val="0.29827648983972976"/>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Sector'!$R$46</c:f>
          <c:strCache>
            <c:ptCount val="1"/>
            <c:pt idx="0">
              <c:v>GHG Emissions by Sector, 1990-2025</c:v>
            </c:pt>
          </c:strCache>
        </c:strRef>
      </c:tx>
      <c:layout>
        <c:manualLayout>
          <c:xMode val="edge"/>
          <c:yMode val="edge"/>
          <c:x val="0.32806831610503662"/>
          <c:y val="3.5947837028845971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6.4398580127119326E-2"/>
          <c:y val="0.22222293142020086"/>
          <c:w val="0.91130066217621686"/>
          <c:h val="0.63036337124526109"/>
        </c:manualLayout>
      </c:layout>
      <c:lineChart>
        <c:grouping val="standard"/>
        <c:varyColors val="0"/>
        <c:ser>
          <c:idx val="5"/>
          <c:order val="0"/>
          <c:tx>
            <c:strRef>
              <c:f>'Summary by Sector'!$B$5</c:f>
              <c:strCache>
                <c:ptCount val="1"/>
                <c:pt idx="0">
                  <c:v>Energy</c:v>
                </c:pt>
              </c:strCache>
            </c:strRef>
          </c:tx>
          <c:spPr>
            <a:ln w="38100">
              <a:solidFill>
                <a:srgbClr val="FFCC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[0]!ChartRange_Summary_Energy</c:f>
              <c:numCache>
                <c:formatCode>_(* #,##0.00_);_(* \(#,##0.00\);_(* "-"??_);_(@_)</c:formatCode>
                <c:ptCount val="36"/>
                <c:pt idx="0">
                  <c:v>200.65173564340881</c:v>
                </c:pt>
                <c:pt idx="1">
                  <c:v>200.28840459646244</c:v>
                </c:pt>
                <c:pt idx="2">
                  <c:v>197.21965910125448</c:v>
                </c:pt>
                <c:pt idx="3">
                  <c:v>211.40428679546545</c:v>
                </c:pt>
                <c:pt idx="4">
                  <c:v>213.9420465823375</c:v>
                </c:pt>
                <c:pt idx="5">
                  <c:v>217.86712367980286</c:v>
                </c:pt>
                <c:pt idx="6">
                  <c:v>231.89657354684482</c:v>
                </c:pt>
                <c:pt idx="7">
                  <c:v>233.860717553222</c:v>
                </c:pt>
                <c:pt idx="8">
                  <c:v>224.98704617457764</c:v>
                </c:pt>
                <c:pt idx="9">
                  <c:v>235.72621658741835</c:v>
                </c:pt>
                <c:pt idx="10">
                  <c:v>242.71531308676649</c:v>
                </c:pt>
                <c:pt idx="11">
                  <c:v>234.73690270619045</c:v>
                </c:pt>
                <c:pt idx="12">
                  <c:v>238.05700162924131</c:v>
                </c:pt>
                <c:pt idx="13">
                  <c:v>241.2302815186427</c:v>
                </c:pt>
                <c:pt idx="14">
                  <c:v>247.43115473035212</c:v>
                </c:pt>
                <c:pt idx="15">
                  <c:v>252.88858261099614</c:v>
                </c:pt>
                <c:pt idx="16">
                  <c:v>245.28596933063011</c:v>
                </c:pt>
                <c:pt idx="17">
                  <c:v>250.27345114764816</c:v>
                </c:pt>
                <c:pt idx="18">
                  <c:v>251.26922559446646</c:v>
                </c:pt>
                <c:pt idx="19">
                  <c:v>235.73204272918395</c:v>
                </c:pt>
                <c:pt idx="20">
                  <c:v>244.5994951562264</c:v>
                </c:pt>
                <c:pt idx="21">
                  <c:v>240.9051068855145</c:v>
                </c:pt>
                <c:pt idx="22">
                  <c:v>228.3816084939383</c:v>
                </c:pt>
                <c:pt idx="23">
                  <c:v>242.19308791270535</c:v>
                </c:pt>
                <c:pt idx="24">
                  <c:v>245.27158051769385</c:v>
                </c:pt>
                <c:pt idx="25">
                  <c:v>229.59312033419707</c:v>
                </c:pt>
                <c:pt idx="26">
                  <c:v>217.78380613587751</c:v>
                </c:pt>
                <c:pt idx="27">
                  <c:v>214.32599845986439</c:v>
                </c:pt>
                <c:pt idx="28">
                  <c:v>220.15889807406501</c:v>
                </c:pt>
                <c:pt idx="29">
                  <c:v>210.46702154236038</c:v>
                </c:pt>
                <c:pt idx="30">
                  <c:v>177.79470932495255</c:v>
                </c:pt>
                <c:pt idx="31">
                  <c:v>4.1559464073343753</c:v>
                </c:pt>
                <c:pt idx="32">
                  <c:v>4.1506728251231495</c:v>
                </c:pt>
                <c:pt idx="33">
                  <c:v>0.32827812681537971</c:v>
                </c:pt>
                <c:pt idx="34">
                  <c:v>0.32270198347361084</c:v>
                </c:pt>
                <c:pt idx="35">
                  <c:v>0.31748190045141383</c:v>
                </c:pt>
              </c:numCache>
            </c:numRef>
          </c:val>
          <c:smooth val="0"/>
          <c:extLst>
            <c:ext xmlns:c16="http://schemas.microsoft.com/office/drawing/2014/chart" uri="{C3380CC4-5D6E-409C-BE32-E72D297353CC}">
              <c16:uniqueId val="{00000000-CB88-4EA5-A328-8D46E592EAF5}"/>
            </c:ext>
          </c:extLst>
        </c:ser>
        <c:ser>
          <c:idx val="6"/>
          <c:order val="1"/>
          <c:tx>
            <c:strRef>
              <c:f>'Summary by Sector'!$B$11</c:f>
              <c:strCache>
                <c:ptCount val="1"/>
                <c:pt idx="0">
                  <c:v>Industrial Processes</c:v>
                </c:pt>
              </c:strCache>
            </c:strRef>
          </c:tx>
          <c:spPr>
            <a:ln w="38100">
              <a:solidFill>
                <a:srgbClr val="80008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[0]!ChartRange_Summary_Industrial_Processes</c:f>
              <c:numCache>
                <c:formatCode>_(* #,##0.00_);_(* \(#,##0.00\);_(* "-"??_);_(@_)</c:formatCode>
                <c:ptCount val="36"/>
                <c:pt idx="0">
                  <c:v>3.4378826880760673</c:v>
                </c:pt>
                <c:pt idx="1">
                  <c:v>3.3228640023124774</c:v>
                </c:pt>
                <c:pt idx="2">
                  <c:v>3.4126665501592122</c:v>
                </c:pt>
                <c:pt idx="3">
                  <c:v>3.7276985517237011</c:v>
                </c:pt>
                <c:pt idx="4">
                  <c:v>4.4550339594991781</c:v>
                </c:pt>
                <c:pt idx="5">
                  <c:v>5.4460273624210238</c:v>
                </c:pt>
                <c:pt idx="6">
                  <c:v>6.0181588733852651</c:v>
                </c:pt>
                <c:pt idx="7">
                  <c:v>13.023129349511551</c:v>
                </c:pt>
                <c:pt idx="8">
                  <c:v>12.829807289921444</c:v>
                </c:pt>
                <c:pt idx="9">
                  <c:v>12.923063009003876</c:v>
                </c:pt>
                <c:pt idx="10">
                  <c:v>12.536240162970003</c:v>
                </c:pt>
                <c:pt idx="11">
                  <c:v>11.768138050707131</c:v>
                </c:pt>
                <c:pt idx="12">
                  <c:v>12.918359015483581</c:v>
                </c:pt>
                <c:pt idx="13">
                  <c:v>13.33832597739692</c:v>
                </c:pt>
                <c:pt idx="14">
                  <c:v>11.687663625507314</c:v>
                </c:pt>
                <c:pt idx="15">
                  <c:v>11.770598108247617</c:v>
                </c:pt>
                <c:pt idx="16">
                  <c:v>12.019476723206125</c:v>
                </c:pt>
                <c:pt idx="17">
                  <c:v>11.980206190756896</c:v>
                </c:pt>
                <c:pt idx="18">
                  <c:v>11.786345512870355</c:v>
                </c:pt>
                <c:pt idx="19">
                  <c:v>8.3649041887104829</c:v>
                </c:pt>
                <c:pt idx="20">
                  <c:v>11.312175380706611</c:v>
                </c:pt>
                <c:pt idx="21">
                  <c:v>11.044625811438689</c:v>
                </c:pt>
                <c:pt idx="22">
                  <c:v>11.176235888356777</c:v>
                </c:pt>
                <c:pt idx="23">
                  <c:v>10.714791824820002</c:v>
                </c:pt>
                <c:pt idx="24">
                  <c:v>10.605322656821288</c:v>
                </c:pt>
                <c:pt idx="25">
                  <c:v>10.788155834808727</c:v>
                </c:pt>
                <c:pt idx="26">
                  <c:v>10.681409969671726</c:v>
                </c:pt>
                <c:pt idx="27">
                  <c:v>10.296939983227887</c:v>
                </c:pt>
                <c:pt idx="28">
                  <c:v>10.00512096340467</c:v>
                </c:pt>
                <c:pt idx="29">
                  <c:v>10.382622105645101</c:v>
                </c:pt>
                <c:pt idx="30">
                  <c:v>10.477042021958107</c:v>
                </c:pt>
                <c:pt idx="31">
                  <c:v>0</c:v>
                </c:pt>
                <c:pt idx="32">
                  <c:v>0</c:v>
                </c:pt>
                <c:pt idx="33">
                  <c:v>0</c:v>
                </c:pt>
                <c:pt idx="34">
                  <c:v>0</c:v>
                </c:pt>
                <c:pt idx="35">
                  <c:v>0</c:v>
                </c:pt>
              </c:numCache>
            </c:numRef>
          </c:val>
          <c:smooth val="0"/>
          <c:extLst>
            <c:ext xmlns:c16="http://schemas.microsoft.com/office/drawing/2014/chart" uri="{C3380CC4-5D6E-409C-BE32-E72D297353CC}">
              <c16:uniqueId val="{00000001-CB88-4EA5-A328-8D46E592EAF5}"/>
            </c:ext>
          </c:extLst>
        </c:ser>
        <c:ser>
          <c:idx val="7"/>
          <c:order val="2"/>
          <c:tx>
            <c:strRef>
              <c:f>'Summary by Sector'!$B$12</c:f>
              <c:strCache>
                <c:ptCount val="1"/>
                <c:pt idx="0">
                  <c:v>Agriculture </c:v>
                </c:pt>
              </c:strCache>
            </c:strRef>
          </c:tx>
          <c:spPr>
            <a:ln w="38100">
              <a:solidFill>
                <a:srgbClr val="FFFF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[0]!ChartRange_Summary_Agriculture</c:f>
              <c:numCache>
                <c:formatCode>_(* #,##0.00_);_(* \(#,##0.00\);_(* "-"??_);_(@_)</c:formatCode>
                <c:ptCount val="36"/>
                <c:pt idx="0">
                  <c:v>29.416809213452723</c:v>
                </c:pt>
                <c:pt idx="1">
                  <c:v>28.237728409590716</c:v>
                </c:pt>
                <c:pt idx="2">
                  <c:v>28.786542562537203</c:v>
                </c:pt>
                <c:pt idx="3">
                  <c:v>30.283642667819173</c:v>
                </c:pt>
                <c:pt idx="4">
                  <c:v>29.262614794469876</c:v>
                </c:pt>
                <c:pt idx="5">
                  <c:v>28.076241904172644</c:v>
                </c:pt>
                <c:pt idx="6">
                  <c:v>28.634002865524138</c:v>
                </c:pt>
                <c:pt idx="7">
                  <c:v>27.146421848593778</c:v>
                </c:pt>
                <c:pt idx="8">
                  <c:v>28.14809137171758</c:v>
                </c:pt>
                <c:pt idx="9">
                  <c:v>27.397913914993055</c:v>
                </c:pt>
                <c:pt idx="10">
                  <c:v>26.790015322366258</c:v>
                </c:pt>
                <c:pt idx="11">
                  <c:v>27.862463616256324</c:v>
                </c:pt>
                <c:pt idx="12">
                  <c:v>26.923984137539335</c:v>
                </c:pt>
                <c:pt idx="13">
                  <c:v>25.979380823862837</c:v>
                </c:pt>
                <c:pt idx="14">
                  <c:v>28.006760002998526</c:v>
                </c:pt>
                <c:pt idx="15">
                  <c:v>26.226559128619609</c:v>
                </c:pt>
                <c:pt idx="16">
                  <c:v>27.157474856214279</c:v>
                </c:pt>
                <c:pt idx="17">
                  <c:v>26.758367734198114</c:v>
                </c:pt>
                <c:pt idx="18">
                  <c:v>27.150200074506525</c:v>
                </c:pt>
                <c:pt idx="19">
                  <c:v>25.129761764082993</c:v>
                </c:pt>
                <c:pt idx="20">
                  <c:v>26.019939495240106</c:v>
                </c:pt>
                <c:pt idx="21">
                  <c:v>26.640465801121668</c:v>
                </c:pt>
                <c:pt idx="22">
                  <c:v>25.108536026594468</c:v>
                </c:pt>
                <c:pt idx="23">
                  <c:v>28.479238465058877</c:v>
                </c:pt>
                <c:pt idx="24">
                  <c:v>29.874678545694778</c:v>
                </c:pt>
                <c:pt idx="25">
                  <c:v>28.774472690713715</c:v>
                </c:pt>
                <c:pt idx="26">
                  <c:v>28.138592779752408</c:v>
                </c:pt>
                <c:pt idx="27">
                  <c:v>29.316328290270047</c:v>
                </c:pt>
                <c:pt idx="28">
                  <c:v>31.482602448167196</c:v>
                </c:pt>
                <c:pt idx="29">
                  <c:v>28.581602292350041</c:v>
                </c:pt>
                <c:pt idx="30">
                  <c:v>27.761590295302181</c:v>
                </c:pt>
                <c:pt idx="31">
                  <c:v>27.120146492352621</c:v>
                </c:pt>
                <c:pt idx="32">
                  <c:v>0</c:v>
                </c:pt>
                <c:pt idx="33">
                  <c:v>0</c:v>
                </c:pt>
                <c:pt idx="34">
                  <c:v>0</c:v>
                </c:pt>
                <c:pt idx="35">
                  <c:v>0</c:v>
                </c:pt>
              </c:numCache>
            </c:numRef>
          </c:val>
          <c:smooth val="0"/>
          <c:extLst>
            <c:ext xmlns:c16="http://schemas.microsoft.com/office/drawing/2014/chart" uri="{C3380CC4-5D6E-409C-BE32-E72D297353CC}">
              <c16:uniqueId val="{00000002-CB88-4EA5-A328-8D46E592EAF5}"/>
            </c:ext>
          </c:extLst>
        </c:ser>
        <c:ser>
          <c:idx val="13"/>
          <c:order val="3"/>
          <c:tx>
            <c:strRef>
              <c:f>'Summary by Sector'!$B$13</c:f>
              <c:strCache>
                <c:ptCount val="1"/>
                <c:pt idx="0">
                  <c:v>LULUCF</c:v>
                </c:pt>
              </c:strCache>
            </c:strRef>
          </c:tx>
          <c:spPr>
            <a:ln w="38100">
              <a:solidFill>
                <a:srgbClr val="0080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[0]!ChartRange_Summary_LULUCF</c:f>
              <c:numCache>
                <c:formatCode>_(* #,##0.00_);_(* \(#,##0.00\);_(* "-"??_);_(@_)</c:formatCode>
                <c:ptCount val="36"/>
                <c:pt idx="0">
                  <c:v>-13.699117039838162</c:v>
                </c:pt>
                <c:pt idx="1">
                  <c:v>-15.143622097032821</c:v>
                </c:pt>
                <c:pt idx="2">
                  <c:v>-12.998539483371866</c:v>
                </c:pt>
                <c:pt idx="3">
                  <c:v>-10.003001981195077</c:v>
                </c:pt>
                <c:pt idx="4">
                  <c:v>-14.108443863895452</c:v>
                </c:pt>
                <c:pt idx="5">
                  <c:v>-11.189449506787284</c:v>
                </c:pt>
                <c:pt idx="6">
                  <c:v>-14.121763882988624</c:v>
                </c:pt>
                <c:pt idx="7">
                  <c:v>-12.851547809002589</c:v>
                </c:pt>
                <c:pt idx="8">
                  <c:v>-10.977013021338911</c:v>
                </c:pt>
                <c:pt idx="9">
                  <c:v>-13.627449358955047</c:v>
                </c:pt>
                <c:pt idx="10">
                  <c:v>-14.542014639906871</c:v>
                </c:pt>
                <c:pt idx="11">
                  <c:v>-17.123133564840487</c:v>
                </c:pt>
                <c:pt idx="12">
                  <c:v>-16.714732031666955</c:v>
                </c:pt>
                <c:pt idx="13">
                  <c:v>-14.945681781098145</c:v>
                </c:pt>
                <c:pt idx="14">
                  <c:v>-16.081108898903086</c:v>
                </c:pt>
                <c:pt idx="15">
                  <c:v>-18.102028594036948</c:v>
                </c:pt>
                <c:pt idx="16">
                  <c:v>-13.784427067292595</c:v>
                </c:pt>
                <c:pt idx="17">
                  <c:v>-16.684624314779775</c:v>
                </c:pt>
                <c:pt idx="18">
                  <c:v>-14.703710682033565</c:v>
                </c:pt>
                <c:pt idx="19">
                  <c:v>-13.98303799660413</c:v>
                </c:pt>
                <c:pt idx="20">
                  <c:v>-14.188509507168526</c:v>
                </c:pt>
                <c:pt idx="21">
                  <c:v>-18.648874860235161</c:v>
                </c:pt>
                <c:pt idx="22">
                  <c:v>-16.827854258156158</c:v>
                </c:pt>
                <c:pt idx="23">
                  <c:v>-11.857699923865441</c:v>
                </c:pt>
                <c:pt idx="24">
                  <c:v>-14.768276349585218</c:v>
                </c:pt>
                <c:pt idx="25">
                  <c:v>-15.672493954454531</c:v>
                </c:pt>
                <c:pt idx="26">
                  <c:v>-15.422641452552661</c:v>
                </c:pt>
                <c:pt idx="27">
                  <c:v>-15.381851212415267</c:v>
                </c:pt>
                <c:pt idx="28">
                  <c:v>-14.616326212037889</c:v>
                </c:pt>
                <c:pt idx="29">
                  <c:v>-14.264479138366697</c:v>
                </c:pt>
                <c:pt idx="30">
                  <c:v>-15.509148179505491</c:v>
                </c:pt>
                <c:pt idx="31">
                  <c:v>0</c:v>
                </c:pt>
                <c:pt idx="32">
                  <c:v>0</c:v>
                </c:pt>
                <c:pt idx="33">
                  <c:v>0</c:v>
                </c:pt>
                <c:pt idx="34">
                  <c:v>0</c:v>
                </c:pt>
                <c:pt idx="35">
                  <c:v>0</c:v>
                </c:pt>
              </c:numCache>
            </c:numRef>
          </c:val>
          <c:smooth val="0"/>
          <c:extLst>
            <c:ext xmlns:c16="http://schemas.microsoft.com/office/drawing/2014/chart" uri="{C3380CC4-5D6E-409C-BE32-E72D297353CC}">
              <c16:uniqueId val="{00000003-CB88-4EA5-A328-8D46E592EAF5}"/>
            </c:ext>
          </c:extLst>
        </c:ser>
        <c:ser>
          <c:idx val="14"/>
          <c:order val="4"/>
          <c:tx>
            <c:strRef>
              <c:f>'Summary by Sector'!$B$14</c:f>
              <c:strCache>
                <c:ptCount val="1"/>
                <c:pt idx="0">
                  <c:v>Waste</c:v>
                </c:pt>
              </c:strCache>
            </c:strRef>
          </c:tx>
          <c:spPr>
            <a:ln w="38100">
              <a:solidFill>
                <a:srgbClr val="0000FF"/>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[0]!ChartRange_Summary_Waste</c:f>
              <c:numCache>
                <c:formatCode>_(* #,##0.00_);_(* \(#,##0.00\);_(* "-"??_);_(@_)</c:formatCode>
                <c:ptCount val="36"/>
                <c:pt idx="0">
                  <c:v>11.428414909824196</c:v>
                </c:pt>
                <c:pt idx="1">
                  <c:v>11.653767859299396</c:v>
                </c:pt>
                <c:pt idx="2">
                  <c:v>12.014423878787824</c:v>
                </c:pt>
                <c:pt idx="3">
                  <c:v>12.327041580865448</c:v>
                </c:pt>
                <c:pt idx="4">
                  <c:v>12.556522132753431</c:v>
                </c:pt>
                <c:pt idx="5">
                  <c:v>12.79804129911949</c:v>
                </c:pt>
                <c:pt idx="6">
                  <c:v>12.937213407412152</c:v>
                </c:pt>
                <c:pt idx="7">
                  <c:v>12.636534051943846</c:v>
                </c:pt>
                <c:pt idx="8">
                  <c:v>11.617726299031597</c:v>
                </c:pt>
                <c:pt idx="9">
                  <c:v>11.363324631247114</c:v>
                </c:pt>
                <c:pt idx="10">
                  <c:v>10.344826125895096</c:v>
                </c:pt>
                <c:pt idx="11">
                  <c:v>4.5257550462419136</c:v>
                </c:pt>
                <c:pt idx="12">
                  <c:v>6.7693468549285161</c:v>
                </c:pt>
                <c:pt idx="13">
                  <c:v>9.1617847671573909</c:v>
                </c:pt>
                <c:pt idx="14">
                  <c:v>9.5538175351679016</c:v>
                </c:pt>
                <c:pt idx="15">
                  <c:v>10.833296160220907</c:v>
                </c:pt>
                <c:pt idx="16">
                  <c:v>12.138303000582704</c:v>
                </c:pt>
                <c:pt idx="17">
                  <c:v>13.090121964963771</c:v>
                </c:pt>
                <c:pt idx="18">
                  <c:v>13.094067473354469</c:v>
                </c:pt>
                <c:pt idx="19">
                  <c:v>12.23160925066194</c:v>
                </c:pt>
                <c:pt idx="20">
                  <c:v>11.909697588327788</c:v>
                </c:pt>
                <c:pt idx="21">
                  <c:v>11.567126120455873</c:v>
                </c:pt>
                <c:pt idx="22">
                  <c:v>9.9933215641726711</c:v>
                </c:pt>
                <c:pt idx="23">
                  <c:v>9.1730482960454651</c:v>
                </c:pt>
                <c:pt idx="24">
                  <c:v>9.1787417669589679</c:v>
                </c:pt>
                <c:pt idx="25">
                  <c:v>9.0886867024912679</c:v>
                </c:pt>
                <c:pt idx="26">
                  <c:v>9.3041473145943581</c:v>
                </c:pt>
                <c:pt idx="27">
                  <c:v>9.9383402758194173</c:v>
                </c:pt>
                <c:pt idx="28">
                  <c:v>9.4492543118880867</c:v>
                </c:pt>
                <c:pt idx="29">
                  <c:v>7.9781327693566766</c:v>
                </c:pt>
                <c:pt idx="30">
                  <c:v>6.9339516412511202</c:v>
                </c:pt>
                <c:pt idx="31">
                  <c:v>0</c:v>
                </c:pt>
                <c:pt idx="32">
                  <c:v>0</c:v>
                </c:pt>
                <c:pt idx="33">
                  <c:v>0</c:v>
                </c:pt>
                <c:pt idx="34">
                  <c:v>0</c:v>
                </c:pt>
                <c:pt idx="35">
                  <c:v>0</c:v>
                </c:pt>
              </c:numCache>
            </c:numRef>
          </c:val>
          <c:smooth val="0"/>
          <c:extLst>
            <c:ext xmlns:c16="http://schemas.microsoft.com/office/drawing/2014/chart" uri="{C3380CC4-5D6E-409C-BE32-E72D297353CC}">
              <c16:uniqueId val="{00000004-CB88-4EA5-A328-8D46E592EAF5}"/>
            </c:ext>
          </c:extLst>
        </c:ser>
        <c:dLbls>
          <c:showLegendKey val="0"/>
          <c:showVal val="0"/>
          <c:showCatName val="0"/>
          <c:showSerName val="0"/>
          <c:showPercent val="0"/>
          <c:showBubbleSize val="0"/>
        </c:dLbls>
        <c:smooth val="0"/>
        <c:axId val="222195952"/>
        <c:axId val="222196344"/>
      </c:lineChart>
      <c:catAx>
        <c:axId val="222195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2196344"/>
        <c:crosses val="autoZero"/>
        <c:auto val="1"/>
        <c:lblAlgn val="ctr"/>
        <c:lblOffset val="100"/>
        <c:tickLblSkip val="1"/>
        <c:tickMarkSkip val="1"/>
        <c:noMultiLvlLbl val="0"/>
      </c:catAx>
      <c:valAx>
        <c:axId val="22219634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753069373437321E-3"/>
              <c:y val="0.3071905206764408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2195952"/>
        <c:crosses val="autoZero"/>
        <c:crossBetween val="between"/>
      </c:valAx>
      <c:spPr>
        <a:solidFill>
          <a:srgbClr val="FFFFFF"/>
        </a:solidFill>
        <a:ln w="12700">
          <a:solidFill>
            <a:srgbClr val="808080"/>
          </a:solidFill>
          <a:prstDash val="solid"/>
        </a:ln>
      </c:spPr>
    </c:plotArea>
    <c:legend>
      <c:legendPos val="r"/>
      <c:layout>
        <c:manualLayout>
          <c:xMode val="edge"/>
          <c:yMode val="edge"/>
          <c:x val="0.24164728748711717"/>
          <c:y val="0.14105321156748177"/>
          <c:w val="0.54079264337952915"/>
          <c:h val="6.5263426247640824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Sector'!$R$47</c:f>
          <c:strCache>
            <c:ptCount val="1"/>
            <c:pt idx="0">
              <c:v>GHG Emissions by Sector (excluding Fossil Fuel Combustion), 1990-2025</c:v>
            </c:pt>
          </c:strCache>
        </c:strRef>
      </c:tx>
      <c:layout>
        <c:manualLayout>
          <c:xMode val="edge"/>
          <c:yMode val="edge"/>
          <c:x val="0.1714192729562885"/>
          <c:y val="3.7680898723866416E-2"/>
        </c:manualLayout>
      </c:layout>
      <c:overlay val="0"/>
      <c:spPr>
        <a:noFill/>
        <a:ln w="25400">
          <a:noFill/>
        </a:ln>
      </c:spPr>
      <c:txPr>
        <a:bodyPr/>
        <a:lstStyle/>
        <a:p>
          <a:pPr>
            <a:defRPr sz="1200" b="0" i="0" u="none" strike="noStrike" baseline="0">
              <a:solidFill>
                <a:srgbClr val="000000"/>
              </a:solidFill>
              <a:latin typeface="Comic Sans MS" panose="030F0702030302020204" pitchFamily="66" charset="0"/>
              <a:ea typeface="Arial"/>
              <a:cs typeface="Arial"/>
            </a:defRPr>
          </a:pPr>
          <a:endParaRPr lang="en-US"/>
        </a:p>
      </c:txPr>
    </c:title>
    <c:autoTitleDeleted val="0"/>
    <c:plotArea>
      <c:layout>
        <c:manualLayout>
          <c:layoutTarget val="inner"/>
          <c:xMode val="edge"/>
          <c:yMode val="edge"/>
          <c:x val="6.2296587926509189E-2"/>
          <c:y val="0.20539505837632366"/>
          <c:w val="0.91340259550889469"/>
          <c:h val="0.63209255267672537"/>
        </c:manualLayout>
      </c:layout>
      <c:lineChart>
        <c:grouping val="standard"/>
        <c:varyColors val="0"/>
        <c:ser>
          <c:idx val="9"/>
          <c:order val="0"/>
          <c:tx>
            <c:strRef>
              <c:f>'Summary by Sector'!$B$5</c:f>
              <c:strCache>
                <c:ptCount val="1"/>
                <c:pt idx="0">
                  <c:v>Energy</c:v>
                </c:pt>
              </c:strCache>
            </c:strRef>
          </c:tx>
          <c:spPr>
            <a:ln w="38100">
              <a:solidFill>
                <a:srgbClr val="FFCC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[0]!ChartRange_Summary_Energy__no_CO2FFC</c:f>
              <c:numCache>
                <c:formatCode>_(* #,##0.000_);_(* \(#,##0.000\);_(* "-"??_);_(@_)</c:formatCode>
                <c:ptCount val="36"/>
                <c:pt idx="0">
                  <c:v>8.6504483440692823</c:v>
                </c:pt>
                <c:pt idx="1">
                  <c:v>8.8574704700845981</c:v>
                </c:pt>
                <c:pt idx="2">
                  <c:v>9.2884245361444471</c:v>
                </c:pt>
                <c:pt idx="3">
                  <c:v>7.9738997029989953</c:v>
                </c:pt>
                <c:pt idx="4">
                  <c:v>9.0757297833254409</c:v>
                </c:pt>
                <c:pt idx="5">
                  <c:v>9.3319646407854311</c:v>
                </c:pt>
                <c:pt idx="6">
                  <c:v>9.1442107205515359</c:v>
                </c:pt>
                <c:pt idx="7">
                  <c:v>8.5594412681749628</c:v>
                </c:pt>
                <c:pt idx="8">
                  <c:v>7.9707942053559231</c:v>
                </c:pt>
                <c:pt idx="9">
                  <c:v>7.8008244769596207</c:v>
                </c:pt>
                <c:pt idx="10">
                  <c:v>8.0811990971817824</c:v>
                </c:pt>
                <c:pt idx="11">
                  <c:v>7.1840054875347645</c:v>
                </c:pt>
                <c:pt idx="12">
                  <c:v>6.4065839135214864</c:v>
                </c:pt>
                <c:pt idx="13">
                  <c:v>5.8408094762822618</c:v>
                </c:pt>
                <c:pt idx="14">
                  <c:v>6.3131091331786671</c:v>
                </c:pt>
                <c:pt idx="15">
                  <c:v>6.5061894453884763</c:v>
                </c:pt>
                <c:pt idx="16">
                  <c:v>6.5580287376266204</c:v>
                </c:pt>
                <c:pt idx="17">
                  <c:v>5.0650089666726119</c:v>
                </c:pt>
                <c:pt idx="18">
                  <c:v>6.7088363312039165</c:v>
                </c:pt>
                <c:pt idx="19">
                  <c:v>6.3544223248149727</c:v>
                </c:pt>
                <c:pt idx="20">
                  <c:v>11.022577379385559</c:v>
                </c:pt>
                <c:pt idx="21">
                  <c:v>10.445484331812597</c:v>
                </c:pt>
                <c:pt idx="22">
                  <c:v>11.412999827385384</c:v>
                </c:pt>
                <c:pt idx="23">
                  <c:v>10.989590995261965</c:v>
                </c:pt>
                <c:pt idx="24">
                  <c:v>11.121607845168706</c:v>
                </c:pt>
                <c:pt idx="25">
                  <c:v>11.497913644439912</c:v>
                </c:pt>
                <c:pt idx="26">
                  <c:v>11.627014614599272</c:v>
                </c:pt>
                <c:pt idx="27">
                  <c:v>10.208256977660838</c:v>
                </c:pt>
                <c:pt idx="28">
                  <c:v>9.0914484150104506</c:v>
                </c:pt>
                <c:pt idx="29">
                  <c:v>8.6198738470920766</c:v>
                </c:pt>
                <c:pt idx="30">
                  <c:v>7.5181043554643434</c:v>
                </c:pt>
                <c:pt idx="31">
                  <c:v>4.1559464073343753</c:v>
                </c:pt>
                <c:pt idx="32">
                  <c:v>4.1506728251231495</c:v>
                </c:pt>
                <c:pt idx="33">
                  <c:v>0.32827812681537971</c:v>
                </c:pt>
                <c:pt idx="34">
                  <c:v>0.32270198347361084</c:v>
                </c:pt>
                <c:pt idx="35">
                  <c:v>0.31748190045141383</c:v>
                </c:pt>
              </c:numCache>
            </c:numRef>
          </c:val>
          <c:smooth val="0"/>
          <c:extLst>
            <c:ext xmlns:c16="http://schemas.microsoft.com/office/drawing/2014/chart" uri="{C3380CC4-5D6E-409C-BE32-E72D297353CC}">
              <c16:uniqueId val="{00000000-52E3-4D0D-8D6A-8B73B229DCF2}"/>
            </c:ext>
          </c:extLst>
        </c:ser>
        <c:ser>
          <c:idx val="2"/>
          <c:order val="1"/>
          <c:tx>
            <c:strRef>
              <c:f>'Summary by Sector'!$B$11</c:f>
              <c:strCache>
                <c:ptCount val="1"/>
                <c:pt idx="0">
                  <c:v>Industrial Processes</c:v>
                </c:pt>
              </c:strCache>
            </c:strRef>
          </c:tx>
          <c:spPr>
            <a:ln w="38100">
              <a:solidFill>
                <a:srgbClr val="80008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[0]!ChartRange_Summary_Industrial_Processes</c:f>
              <c:numCache>
                <c:formatCode>_(* #,##0.00_);_(* \(#,##0.00\);_(* "-"??_);_(@_)</c:formatCode>
                <c:ptCount val="36"/>
                <c:pt idx="0">
                  <c:v>3.4378826880760673</c:v>
                </c:pt>
                <c:pt idx="1">
                  <c:v>3.3228640023124774</c:v>
                </c:pt>
                <c:pt idx="2">
                  <c:v>3.4126665501592122</c:v>
                </c:pt>
                <c:pt idx="3">
                  <c:v>3.7276985517237011</c:v>
                </c:pt>
                <c:pt idx="4">
                  <c:v>4.4550339594991781</c:v>
                </c:pt>
                <c:pt idx="5">
                  <c:v>5.4460273624210238</c:v>
                </c:pt>
                <c:pt idx="6">
                  <c:v>6.0181588733852651</c:v>
                </c:pt>
                <c:pt idx="7">
                  <c:v>13.023129349511551</c:v>
                </c:pt>
                <c:pt idx="8">
                  <c:v>12.829807289921444</c:v>
                </c:pt>
                <c:pt idx="9">
                  <c:v>12.923063009003876</c:v>
                </c:pt>
                <c:pt idx="10">
                  <c:v>12.536240162970003</c:v>
                </c:pt>
                <c:pt idx="11">
                  <c:v>11.768138050707131</c:v>
                </c:pt>
                <c:pt idx="12">
                  <c:v>12.918359015483581</c:v>
                </c:pt>
                <c:pt idx="13">
                  <c:v>13.33832597739692</c:v>
                </c:pt>
                <c:pt idx="14">
                  <c:v>11.687663625507314</c:v>
                </c:pt>
                <c:pt idx="15">
                  <c:v>11.770598108247617</c:v>
                </c:pt>
                <c:pt idx="16">
                  <c:v>12.019476723206125</c:v>
                </c:pt>
                <c:pt idx="17">
                  <c:v>11.980206190756896</c:v>
                </c:pt>
                <c:pt idx="18">
                  <c:v>11.786345512870355</c:v>
                </c:pt>
                <c:pt idx="19">
                  <c:v>8.3649041887104829</c:v>
                </c:pt>
                <c:pt idx="20">
                  <c:v>11.312175380706611</c:v>
                </c:pt>
                <c:pt idx="21">
                  <c:v>11.044625811438689</c:v>
                </c:pt>
                <c:pt idx="22">
                  <c:v>11.176235888356777</c:v>
                </c:pt>
                <c:pt idx="23">
                  <c:v>10.714791824820002</c:v>
                </c:pt>
                <c:pt idx="24">
                  <c:v>10.605322656821288</c:v>
                </c:pt>
                <c:pt idx="25">
                  <c:v>10.788155834808727</c:v>
                </c:pt>
                <c:pt idx="26">
                  <c:v>10.681409969671726</c:v>
                </c:pt>
                <c:pt idx="27">
                  <c:v>10.296939983227887</c:v>
                </c:pt>
                <c:pt idx="28">
                  <c:v>10.00512096340467</c:v>
                </c:pt>
                <c:pt idx="29">
                  <c:v>10.382622105645101</c:v>
                </c:pt>
                <c:pt idx="30">
                  <c:v>10.477042021958107</c:v>
                </c:pt>
                <c:pt idx="31">
                  <c:v>0</c:v>
                </c:pt>
                <c:pt idx="32">
                  <c:v>0</c:v>
                </c:pt>
                <c:pt idx="33">
                  <c:v>0</c:v>
                </c:pt>
                <c:pt idx="34">
                  <c:v>0</c:v>
                </c:pt>
                <c:pt idx="35">
                  <c:v>0</c:v>
                </c:pt>
              </c:numCache>
            </c:numRef>
          </c:val>
          <c:smooth val="0"/>
          <c:extLst>
            <c:ext xmlns:c16="http://schemas.microsoft.com/office/drawing/2014/chart" uri="{C3380CC4-5D6E-409C-BE32-E72D297353CC}">
              <c16:uniqueId val="{00000001-52E3-4D0D-8D6A-8B73B229DCF2}"/>
            </c:ext>
          </c:extLst>
        </c:ser>
        <c:ser>
          <c:idx val="3"/>
          <c:order val="2"/>
          <c:tx>
            <c:strRef>
              <c:f>'Summary by Sector'!$B$12</c:f>
              <c:strCache>
                <c:ptCount val="1"/>
                <c:pt idx="0">
                  <c:v>Agriculture </c:v>
                </c:pt>
              </c:strCache>
            </c:strRef>
          </c:tx>
          <c:spPr>
            <a:ln w="38100">
              <a:solidFill>
                <a:srgbClr val="FFFF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[0]!ChartRange_Summary_Agriculture</c:f>
              <c:numCache>
                <c:formatCode>_(* #,##0.00_);_(* \(#,##0.00\);_(* "-"??_);_(@_)</c:formatCode>
                <c:ptCount val="36"/>
                <c:pt idx="0">
                  <c:v>29.416809213452723</c:v>
                </c:pt>
                <c:pt idx="1">
                  <c:v>28.237728409590716</c:v>
                </c:pt>
                <c:pt idx="2">
                  <c:v>28.786542562537203</c:v>
                </c:pt>
                <c:pt idx="3">
                  <c:v>30.283642667819173</c:v>
                </c:pt>
                <c:pt idx="4">
                  <c:v>29.262614794469876</c:v>
                </c:pt>
                <c:pt idx="5">
                  <c:v>28.076241904172644</c:v>
                </c:pt>
                <c:pt idx="6">
                  <c:v>28.634002865524138</c:v>
                </c:pt>
                <c:pt idx="7">
                  <c:v>27.146421848593778</c:v>
                </c:pt>
                <c:pt idx="8">
                  <c:v>28.14809137171758</c:v>
                </c:pt>
                <c:pt idx="9">
                  <c:v>27.397913914993055</c:v>
                </c:pt>
                <c:pt idx="10">
                  <c:v>26.790015322366258</c:v>
                </c:pt>
                <c:pt idx="11">
                  <c:v>27.862463616256324</c:v>
                </c:pt>
                <c:pt idx="12">
                  <c:v>26.923984137539335</c:v>
                </c:pt>
                <c:pt idx="13">
                  <c:v>25.979380823862837</c:v>
                </c:pt>
                <c:pt idx="14">
                  <c:v>28.006760002998526</c:v>
                </c:pt>
                <c:pt idx="15">
                  <c:v>26.226559128619609</c:v>
                </c:pt>
                <c:pt idx="16">
                  <c:v>27.157474856214279</c:v>
                </c:pt>
                <c:pt idx="17">
                  <c:v>26.758367734198114</c:v>
                </c:pt>
                <c:pt idx="18">
                  <c:v>27.150200074506525</c:v>
                </c:pt>
                <c:pt idx="19">
                  <c:v>25.129761764082993</c:v>
                </c:pt>
                <c:pt idx="20">
                  <c:v>26.019939495240106</c:v>
                </c:pt>
                <c:pt idx="21">
                  <c:v>26.640465801121668</c:v>
                </c:pt>
                <c:pt idx="22">
                  <c:v>25.108536026594468</c:v>
                </c:pt>
                <c:pt idx="23">
                  <c:v>28.479238465058877</c:v>
                </c:pt>
                <c:pt idx="24">
                  <c:v>29.874678545694778</c:v>
                </c:pt>
                <c:pt idx="25">
                  <c:v>28.774472690713715</c:v>
                </c:pt>
                <c:pt idx="26">
                  <c:v>28.138592779752408</c:v>
                </c:pt>
                <c:pt idx="27">
                  <c:v>29.316328290270047</c:v>
                </c:pt>
                <c:pt idx="28">
                  <c:v>31.482602448167196</c:v>
                </c:pt>
                <c:pt idx="29">
                  <c:v>28.581602292350041</c:v>
                </c:pt>
                <c:pt idx="30">
                  <c:v>27.761590295302181</c:v>
                </c:pt>
                <c:pt idx="31">
                  <c:v>27.120146492352621</c:v>
                </c:pt>
                <c:pt idx="32">
                  <c:v>0</c:v>
                </c:pt>
                <c:pt idx="33">
                  <c:v>0</c:v>
                </c:pt>
                <c:pt idx="34">
                  <c:v>0</c:v>
                </c:pt>
                <c:pt idx="35">
                  <c:v>0</c:v>
                </c:pt>
              </c:numCache>
            </c:numRef>
          </c:val>
          <c:smooth val="0"/>
          <c:extLst>
            <c:ext xmlns:c16="http://schemas.microsoft.com/office/drawing/2014/chart" uri="{C3380CC4-5D6E-409C-BE32-E72D297353CC}">
              <c16:uniqueId val="{00000002-52E3-4D0D-8D6A-8B73B229DCF2}"/>
            </c:ext>
          </c:extLst>
        </c:ser>
        <c:ser>
          <c:idx val="11"/>
          <c:order val="3"/>
          <c:tx>
            <c:strRef>
              <c:f>'Summary by Sector'!$B$13</c:f>
              <c:strCache>
                <c:ptCount val="1"/>
                <c:pt idx="0">
                  <c:v>LULUCF</c:v>
                </c:pt>
              </c:strCache>
            </c:strRef>
          </c:tx>
          <c:spPr>
            <a:ln w="38100">
              <a:solidFill>
                <a:srgbClr val="008000"/>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[0]!ChartRange_Summary_LULUCF</c:f>
              <c:numCache>
                <c:formatCode>_(* #,##0.00_);_(* \(#,##0.00\);_(* "-"??_);_(@_)</c:formatCode>
                <c:ptCount val="36"/>
                <c:pt idx="0">
                  <c:v>-13.699117039838162</c:v>
                </c:pt>
                <c:pt idx="1">
                  <c:v>-15.143622097032821</c:v>
                </c:pt>
                <c:pt idx="2">
                  <c:v>-12.998539483371866</c:v>
                </c:pt>
                <c:pt idx="3">
                  <c:v>-10.003001981195077</c:v>
                </c:pt>
                <c:pt idx="4">
                  <c:v>-14.108443863895452</c:v>
                </c:pt>
                <c:pt idx="5">
                  <c:v>-11.189449506787284</c:v>
                </c:pt>
                <c:pt idx="6">
                  <c:v>-14.121763882988624</c:v>
                </c:pt>
                <c:pt idx="7">
                  <c:v>-12.851547809002589</c:v>
                </c:pt>
                <c:pt idx="8">
                  <c:v>-10.977013021338911</c:v>
                </c:pt>
                <c:pt idx="9">
                  <c:v>-13.627449358955047</c:v>
                </c:pt>
                <c:pt idx="10">
                  <c:v>-14.542014639906871</c:v>
                </c:pt>
                <c:pt idx="11">
                  <c:v>-17.123133564840487</c:v>
                </c:pt>
                <c:pt idx="12">
                  <c:v>-16.714732031666955</c:v>
                </c:pt>
                <c:pt idx="13">
                  <c:v>-14.945681781098145</c:v>
                </c:pt>
                <c:pt idx="14">
                  <c:v>-16.081108898903086</c:v>
                </c:pt>
                <c:pt idx="15">
                  <c:v>-18.102028594036948</c:v>
                </c:pt>
                <c:pt idx="16">
                  <c:v>-13.784427067292595</c:v>
                </c:pt>
                <c:pt idx="17">
                  <c:v>-16.684624314779775</c:v>
                </c:pt>
                <c:pt idx="18">
                  <c:v>-14.703710682033565</c:v>
                </c:pt>
                <c:pt idx="19">
                  <c:v>-13.98303799660413</c:v>
                </c:pt>
                <c:pt idx="20">
                  <c:v>-14.188509507168526</c:v>
                </c:pt>
                <c:pt idx="21">
                  <c:v>-18.648874860235161</c:v>
                </c:pt>
                <c:pt idx="22">
                  <c:v>-16.827854258156158</c:v>
                </c:pt>
                <c:pt idx="23">
                  <c:v>-11.857699923865441</c:v>
                </c:pt>
                <c:pt idx="24">
                  <c:v>-14.768276349585218</c:v>
                </c:pt>
                <c:pt idx="25">
                  <c:v>-15.672493954454531</c:v>
                </c:pt>
                <c:pt idx="26">
                  <c:v>-15.422641452552661</c:v>
                </c:pt>
                <c:pt idx="27">
                  <c:v>-15.381851212415267</c:v>
                </c:pt>
                <c:pt idx="28">
                  <c:v>-14.616326212037889</c:v>
                </c:pt>
                <c:pt idx="29">
                  <c:v>-14.264479138366697</c:v>
                </c:pt>
                <c:pt idx="30">
                  <c:v>-15.509148179505491</c:v>
                </c:pt>
                <c:pt idx="31">
                  <c:v>0</c:v>
                </c:pt>
                <c:pt idx="32">
                  <c:v>0</c:v>
                </c:pt>
                <c:pt idx="33">
                  <c:v>0</c:v>
                </c:pt>
                <c:pt idx="34">
                  <c:v>0</c:v>
                </c:pt>
                <c:pt idx="35">
                  <c:v>0</c:v>
                </c:pt>
              </c:numCache>
            </c:numRef>
          </c:val>
          <c:smooth val="0"/>
          <c:extLst>
            <c:ext xmlns:c16="http://schemas.microsoft.com/office/drawing/2014/chart" uri="{C3380CC4-5D6E-409C-BE32-E72D297353CC}">
              <c16:uniqueId val="{00000003-52E3-4D0D-8D6A-8B73B229DCF2}"/>
            </c:ext>
          </c:extLst>
        </c:ser>
        <c:ser>
          <c:idx val="13"/>
          <c:order val="4"/>
          <c:tx>
            <c:strRef>
              <c:f>'Summary by Sector'!$B$14</c:f>
              <c:strCache>
                <c:ptCount val="1"/>
                <c:pt idx="0">
                  <c:v>Waste</c:v>
                </c:pt>
              </c:strCache>
            </c:strRef>
          </c:tx>
          <c:spPr>
            <a:ln w="38100">
              <a:solidFill>
                <a:srgbClr val="0000FF"/>
              </a:solidFill>
              <a:prstDash val="solid"/>
            </a:ln>
          </c:spPr>
          <c:marker>
            <c:symbol val="none"/>
          </c:marker>
          <c:cat>
            <c:numRef>
              <c:f>[0]!ChartRange_Summary_Year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[0]!ChartRange_Summary_Waste</c:f>
              <c:numCache>
                <c:formatCode>_(* #,##0.00_);_(* \(#,##0.00\);_(* "-"??_);_(@_)</c:formatCode>
                <c:ptCount val="36"/>
                <c:pt idx="0">
                  <c:v>11.428414909824196</c:v>
                </c:pt>
                <c:pt idx="1">
                  <c:v>11.653767859299396</c:v>
                </c:pt>
                <c:pt idx="2">
                  <c:v>12.014423878787824</c:v>
                </c:pt>
                <c:pt idx="3">
                  <c:v>12.327041580865448</c:v>
                </c:pt>
                <c:pt idx="4">
                  <c:v>12.556522132753431</c:v>
                </c:pt>
                <c:pt idx="5">
                  <c:v>12.79804129911949</c:v>
                </c:pt>
                <c:pt idx="6">
                  <c:v>12.937213407412152</c:v>
                </c:pt>
                <c:pt idx="7">
                  <c:v>12.636534051943846</c:v>
                </c:pt>
                <c:pt idx="8">
                  <c:v>11.617726299031597</c:v>
                </c:pt>
                <c:pt idx="9">
                  <c:v>11.363324631247114</c:v>
                </c:pt>
                <c:pt idx="10">
                  <c:v>10.344826125895096</c:v>
                </c:pt>
                <c:pt idx="11">
                  <c:v>4.5257550462419136</c:v>
                </c:pt>
                <c:pt idx="12">
                  <c:v>6.7693468549285161</c:v>
                </c:pt>
                <c:pt idx="13">
                  <c:v>9.1617847671573909</c:v>
                </c:pt>
                <c:pt idx="14">
                  <c:v>9.5538175351679016</c:v>
                </c:pt>
                <c:pt idx="15">
                  <c:v>10.833296160220907</c:v>
                </c:pt>
                <c:pt idx="16">
                  <c:v>12.138303000582704</c:v>
                </c:pt>
                <c:pt idx="17">
                  <c:v>13.090121964963771</c:v>
                </c:pt>
                <c:pt idx="18">
                  <c:v>13.094067473354469</c:v>
                </c:pt>
                <c:pt idx="19">
                  <c:v>12.23160925066194</c:v>
                </c:pt>
                <c:pt idx="20">
                  <c:v>11.909697588327788</c:v>
                </c:pt>
                <c:pt idx="21">
                  <c:v>11.567126120455873</c:v>
                </c:pt>
                <c:pt idx="22">
                  <c:v>9.9933215641726711</c:v>
                </c:pt>
                <c:pt idx="23">
                  <c:v>9.1730482960454651</c:v>
                </c:pt>
                <c:pt idx="24">
                  <c:v>9.1787417669589679</c:v>
                </c:pt>
                <c:pt idx="25">
                  <c:v>9.0886867024912679</c:v>
                </c:pt>
                <c:pt idx="26">
                  <c:v>9.3041473145943581</c:v>
                </c:pt>
                <c:pt idx="27">
                  <c:v>9.9383402758194173</c:v>
                </c:pt>
                <c:pt idx="28">
                  <c:v>9.4492543118880867</c:v>
                </c:pt>
                <c:pt idx="29">
                  <c:v>7.9781327693566766</c:v>
                </c:pt>
                <c:pt idx="30">
                  <c:v>6.9339516412511202</c:v>
                </c:pt>
                <c:pt idx="31">
                  <c:v>0</c:v>
                </c:pt>
                <c:pt idx="32">
                  <c:v>0</c:v>
                </c:pt>
                <c:pt idx="33">
                  <c:v>0</c:v>
                </c:pt>
                <c:pt idx="34">
                  <c:v>0</c:v>
                </c:pt>
                <c:pt idx="35">
                  <c:v>0</c:v>
                </c:pt>
              </c:numCache>
            </c:numRef>
          </c:val>
          <c:smooth val="0"/>
          <c:extLst>
            <c:ext xmlns:c16="http://schemas.microsoft.com/office/drawing/2014/chart" uri="{C3380CC4-5D6E-409C-BE32-E72D297353CC}">
              <c16:uniqueId val="{00000004-52E3-4D0D-8D6A-8B73B229DCF2}"/>
            </c:ext>
          </c:extLst>
        </c:ser>
        <c:dLbls>
          <c:showLegendKey val="0"/>
          <c:showVal val="0"/>
          <c:showCatName val="0"/>
          <c:showSerName val="0"/>
          <c:showPercent val="0"/>
          <c:showBubbleSize val="0"/>
        </c:dLbls>
        <c:smooth val="0"/>
        <c:axId val="222197128"/>
        <c:axId val="222197520"/>
      </c:lineChart>
      <c:catAx>
        <c:axId val="22219712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2197520"/>
        <c:crosses val="autoZero"/>
        <c:auto val="1"/>
        <c:lblAlgn val="ctr"/>
        <c:lblOffset val="100"/>
        <c:tickLblSkip val="1"/>
        <c:tickMarkSkip val="1"/>
        <c:noMultiLvlLbl val="0"/>
      </c:catAx>
      <c:valAx>
        <c:axId val="222197520"/>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753069373437321E-3"/>
              <c:y val="0.36774259377864843"/>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en-US"/>
          </a:p>
        </c:txPr>
        <c:crossAx val="222197128"/>
        <c:crosses val="autoZero"/>
        <c:crossBetween val="between"/>
      </c:valAx>
      <c:spPr>
        <a:solidFill>
          <a:srgbClr val="FFFFFF"/>
        </a:solidFill>
        <a:ln w="12700">
          <a:solidFill>
            <a:srgbClr val="808080"/>
          </a:solidFill>
          <a:prstDash val="solid"/>
        </a:ln>
      </c:spPr>
    </c:plotArea>
    <c:legend>
      <c:legendPos val="r"/>
      <c:layout>
        <c:manualLayout>
          <c:xMode val="edge"/>
          <c:yMode val="edge"/>
          <c:x val="0.23931628471392954"/>
          <c:y val="0.13125026702935186"/>
          <c:w val="0.54079264337952915"/>
          <c:h val="6.4583464728728696E-2"/>
        </c:manualLayout>
      </c:layout>
      <c:overlay val="0"/>
      <c:spPr>
        <a:solidFill>
          <a:srgbClr val="FFFFFF"/>
        </a:solidFill>
        <a:ln w="25400">
          <a:noFill/>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'Summary by Sector'!$B$91</c:f>
          <c:strCache>
            <c:ptCount val="1"/>
            <c:pt idx="0">
              <c:v> GHG Emissions by Sector 2020 </c:v>
            </c:pt>
          </c:strCache>
        </c:strRef>
      </c:tx>
      <c:layout>
        <c:manualLayout>
          <c:xMode val="edge"/>
          <c:yMode val="edge"/>
          <c:x val="0.20149300512193255"/>
          <c:y val="3.323263283364746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9.7015161048179629E-2"/>
          <c:y val="0.24169219943736936"/>
          <c:w val="0.47761310054488432"/>
          <c:h val="0.58006127864968648"/>
        </c:manualLayout>
      </c:layout>
      <c:pieChart>
        <c:varyColors val="1"/>
        <c:ser>
          <c:idx val="0"/>
          <c:order val="0"/>
          <c:spPr>
            <a:ln w="12700">
              <a:solidFill>
                <a:srgbClr val="000000"/>
              </a:solidFill>
              <a:prstDash val="solid"/>
            </a:ln>
          </c:spPr>
          <c:dPt>
            <c:idx val="0"/>
            <c:bubble3D val="0"/>
            <c:spPr>
              <a:solidFill>
                <a:srgbClr val="FFCC00"/>
              </a:solidFill>
              <a:ln w="12700">
                <a:solidFill>
                  <a:srgbClr val="000000"/>
                </a:solidFill>
                <a:prstDash val="solid"/>
              </a:ln>
            </c:spPr>
            <c:extLst>
              <c:ext xmlns:c16="http://schemas.microsoft.com/office/drawing/2014/chart" uri="{C3380CC4-5D6E-409C-BE32-E72D297353CC}">
                <c16:uniqueId val="{00000001-A4CF-4FCB-857B-2043E40F4100}"/>
              </c:ext>
            </c:extLst>
          </c:dPt>
          <c:dPt>
            <c:idx val="1"/>
            <c:bubble3D val="0"/>
            <c:spPr>
              <a:solidFill>
                <a:srgbClr val="800080"/>
              </a:solidFill>
              <a:ln w="12700">
                <a:solidFill>
                  <a:srgbClr val="000000"/>
                </a:solidFill>
                <a:prstDash val="solid"/>
              </a:ln>
            </c:spPr>
            <c:extLst>
              <c:ext xmlns:c16="http://schemas.microsoft.com/office/drawing/2014/chart" uri="{C3380CC4-5D6E-409C-BE32-E72D297353CC}">
                <c16:uniqueId val="{00000003-A4CF-4FCB-857B-2043E40F4100}"/>
              </c:ext>
            </c:extLst>
          </c:dPt>
          <c:dPt>
            <c:idx val="2"/>
            <c:bubble3D val="0"/>
            <c:spPr>
              <a:solidFill>
                <a:srgbClr val="FFFF00"/>
              </a:solidFill>
              <a:ln w="12700">
                <a:solidFill>
                  <a:srgbClr val="000000"/>
                </a:solidFill>
                <a:prstDash val="solid"/>
              </a:ln>
            </c:spPr>
            <c:extLst>
              <c:ext xmlns:c16="http://schemas.microsoft.com/office/drawing/2014/chart" uri="{C3380CC4-5D6E-409C-BE32-E72D297353CC}">
                <c16:uniqueId val="{00000005-A4CF-4FCB-857B-2043E40F4100}"/>
              </c:ext>
            </c:extLst>
          </c:dPt>
          <c:dLbls>
            <c:spPr>
              <a:noFill/>
              <a:ln>
                <a:noFill/>
              </a:ln>
              <a:effectLst/>
            </c:spPr>
            <c:showLegendKey val="0"/>
            <c:showVal val="0"/>
            <c:showCatName val="0"/>
            <c:showSerName val="0"/>
            <c:showPercent val="1"/>
            <c:showBubbleSize val="0"/>
            <c:showLeaderLines val="1"/>
            <c:extLst>
              <c:ext xmlns:c15="http://schemas.microsoft.com/office/drawing/2012/chart" uri="{CE6537A1-D6FC-4f65-9D91-7224C49458BB}"/>
            </c:extLst>
          </c:dLbls>
          <c:cat>
            <c:strRef>
              <c:f>'Summary by Sector'!$B$93:$B$97</c:f>
              <c:strCache>
                <c:ptCount val="5"/>
                <c:pt idx="0">
                  <c:v>Energy</c:v>
                </c:pt>
                <c:pt idx="1">
                  <c:v>Industrial Processes</c:v>
                </c:pt>
                <c:pt idx="2">
                  <c:v>Agriculture </c:v>
                </c:pt>
                <c:pt idx="3">
                  <c:v>LULUCF</c:v>
                </c:pt>
                <c:pt idx="4">
                  <c:v>Waste</c:v>
                </c:pt>
              </c:strCache>
            </c:strRef>
          </c:cat>
          <c:val>
            <c:numRef>
              <c:f>'Summary by Sector'!$C$93:$C$97</c:f>
              <c:numCache>
                <c:formatCode>General</c:formatCode>
                <c:ptCount val="5"/>
                <c:pt idx="0">
                  <c:v>177.79470932495255</c:v>
                </c:pt>
                <c:pt idx="1">
                  <c:v>10.477042021958107</c:v>
                </c:pt>
                <c:pt idx="2">
                  <c:v>27.761590295302181</c:v>
                </c:pt>
                <c:pt idx="3">
                  <c:v>0</c:v>
                </c:pt>
                <c:pt idx="4">
                  <c:v>6.9339516412511202</c:v>
                </c:pt>
              </c:numCache>
            </c:numRef>
          </c:val>
          <c:extLst>
            <c:ext xmlns:c16="http://schemas.microsoft.com/office/drawing/2014/chart" uri="{C3380CC4-5D6E-409C-BE32-E72D297353CC}">
              <c16:uniqueId val="{00000006-A4CF-4FCB-857B-2043E40F4100}"/>
            </c:ext>
          </c:extLst>
        </c:ser>
        <c:dLbls>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72452454631688623"/>
          <c:y val="0.14591453550064551"/>
          <c:w val="0.21656118307493741"/>
          <c:h val="0.65564264618290047"/>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zero"/>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horizontalDpi="96" verticalDpi="96"/>
  </c:printSettings>
  <c:userShapes r:id="rId1"/>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 Intensity'!$V$15</c:f>
          <c:strCache>
            <c:ptCount val="1"/>
            <c:pt idx="0">
              <c:v>Gross GHG Emissions Per Capita, 1990-2025</c:v>
            </c:pt>
          </c:strCache>
        </c:strRef>
      </c:tx>
      <c:layout>
        <c:manualLayout>
          <c:xMode val="edge"/>
          <c:yMode val="edge"/>
          <c:x val="0.29939432547413231"/>
          <c:y val="3.5830728445376485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6.5454622933976012E-2"/>
          <c:y val="0.27361607036350766"/>
          <c:w val="0.91030410784103677"/>
          <c:h val="0.49185745982011497"/>
        </c:manualLayout>
      </c:layout>
      <c:lineChart>
        <c:grouping val="standard"/>
        <c:varyColors val="0"/>
        <c:ser>
          <c:idx val="0"/>
          <c:order val="0"/>
          <c:tx>
            <c:strRef>
              <c:f>'Gas Intensity'!$B$5</c:f>
              <c:strCache>
                <c:ptCount val="1"/>
                <c:pt idx="0">
                  <c:v>Emissions Per Capita  (MTCO2E)</c:v>
                </c:pt>
              </c:strCache>
            </c:strRef>
          </c:tx>
          <c:spPr>
            <a:ln w="25400">
              <a:solidFill>
                <a:srgbClr val="0000FF"/>
              </a:solidFill>
              <a:prstDash val="solid"/>
            </a:ln>
          </c:spPr>
          <c:marker>
            <c:symbol val="none"/>
          </c:marker>
          <c:cat>
            <c:numRef>
              <c:f>[0]!ChartRange_GasIntensity_Year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[0]!ChartRange_GasIntensity_EmissionsperCapita_Gross_Emissions_Intensity</c:f>
              <c:numCache>
                <c:formatCode>_(* #,##0.00_);_(* \(#,##0.00\);_(* "-"??_);_(@_)</c:formatCode>
                <c:ptCount val="36"/>
                <c:pt idx="0">
                  <c:v>21.427193033026036</c:v>
                </c:pt>
                <c:pt idx="1">
                  <c:v>21.08936356623753</c:v>
                </c:pt>
                <c:pt idx="2">
                  <c:v>20.684110515521965</c:v>
                </c:pt>
                <c:pt idx="3">
                  <c:v>21.863036227539801</c:v>
                </c:pt>
                <c:pt idx="4">
                  <c:v>21.882172806595534</c:v>
                </c:pt>
                <c:pt idx="5">
                  <c:v>22.036735039704745</c:v>
                </c:pt>
                <c:pt idx="6">
                  <c:v>23.132446301219872</c:v>
                </c:pt>
                <c:pt idx="7">
                  <c:v>23.560935428096727</c:v>
                </c:pt>
                <c:pt idx="8">
                  <c:v>22.655925300825071</c:v>
                </c:pt>
                <c:pt idx="9">
                  <c:v>23.28953973051064</c:v>
                </c:pt>
                <c:pt idx="10">
                  <c:v>23.547005452605131</c:v>
                </c:pt>
                <c:pt idx="11">
                  <c:v>22.363824544446011</c:v>
                </c:pt>
                <c:pt idx="12">
                  <c:v>22.757284247164016</c:v>
                </c:pt>
                <c:pt idx="13">
                  <c:v>23.104356077242343</c:v>
                </c:pt>
                <c:pt idx="14">
                  <c:v>23.598590088947574</c:v>
                </c:pt>
                <c:pt idx="15">
                  <c:v>23.959779756453635</c:v>
                </c:pt>
                <c:pt idx="16">
                  <c:v>23.492512897614734</c:v>
                </c:pt>
                <c:pt idx="17">
                  <c:v>23.83120386832648</c:v>
                </c:pt>
                <c:pt idx="18">
                  <c:v>23.829636507718767</c:v>
                </c:pt>
                <c:pt idx="19">
                  <c:v>22.028123316757029</c:v>
                </c:pt>
                <c:pt idx="20">
                  <c:v>22.91463951192037</c:v>
                </c:pt>
                <c:pt idx="21">
                  <c:v>22.586457225752767</c:v>
                </c:pt>
                <c:pt idx="22">
                  <c:v>21.357567590634762</c:v>
                </c:pt>
                <c:pt idx="23">
                  <c:v>22.56829796025848</c:v>
                </c:pt>
                <c:pt idx="24">
                  <c:v>22.927414561346286</c:v>
                </c:pt>
                <c:pt idx="25">
                  <c:v>21.675543375981199</c:v>
                </c:pt>
                <c:pt idx="26">
                  <c:v>20.778463493083354</c:v>
                </c:pt>
                <c:pt idx="27">
                  <c:v>20.688935730050176</c:v>
                </c:pt>
                <c:pt idx="28">
                  <c:v>21.345882357892652</c:v>
                </c:pt>
                <c:pt idx="29">
                  <c:v>20.362989391854427</c:v>
                </c:pt>
                <c:pt idx="30">
                  <c:v>17.755914588075463</c:v>
                </c:pt>
                <c:pt idx="31">
                  <c:v>2.4943193983739111</c:v>
                </c:pt>
                <c:pt idx="32">
                  <c:v>0.32974482087614876</c:v>
                </c:pt>
                <c:pt idx="33">
                  <c:v>2.6079630143116216E-2</c:v>
                </c:pt>
                <c:pt idx="34">
                  <c:v>2.5636640665294211E-2</c:v>
                </c:pt>
                <c:pt idx="35">
                  <c:v>2.5221937937896777E-2</c:v>
                </c:pt>
              </c:numCache>
            </c:numRef>
          </c:val>
          <c:smooth val="0"/>
          <c:extLst>
            <c:ext xmlns:c16="http://schemas.microsoft.com/office/drawing/2014/chart" uri="{C3380CC4-5D6E-409C-BE32-E72D297353CC}">
              <c16:uniqueId val="{00000000-FDCE-4A24-90FB-19C2BD1479D3}"/>
            </c:ext>
          </c:extLst>
        </c:ser>
        <c:dLbls>
          <c:showLegendKey val="0"/>
          <c:showVal val="0"/>
          <c:showCatName val="0"/>
          <c:showSerName val="0"/>
          <c:showPercent val="0"/>
          <c:showBubbleSize val="0"/>
        </c:dLbls>
        <c:smooth val="0"/>
        <c:axId val="223342232"/>
        <c:axId val="223342624"/>
      </c:lineChart>
      <c:catAx>
        <c:axId val="2233422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3342624"/>
        <c:crosses val="autoZero"/>
        <c:auto val="1"/>
        <c:lblAlgn val="ctr"/>
        <c:lblOffset val="100"/>
        <c:tickLblSkip val="1"/>
        <c:tickMarkSkip val="1"/>
        <c:noMultiLvlLbl val="0"/>
      </c:catAx>
      <c:valAx>
        <c:axId val="22334262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060572390821797E-3"/>
              <c:y val="0.4234535538585315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3342232"/>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'Gas Intensity'!$V$16</c:f>
          <c:strCache>
            <c:ptCount val="1"/>
            <c:pt idx="0">
              <c:v>Gross GHG Emissions Per GSP, 1990-2025</c:v>
            </c:pt>
          </c:strCache>
        </c:strRef>
      </c:tx>
      <c:layout>
        <c:manualLayout>
          <c:xMode val="edge"/>
          <c:yMode val="edge"/>
          <c:x val="0.31749706060498095"/>
          <c:y val="3.5830738412106551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7.753131643884828E-2"/>
          <c:y val="0.27361607036350766"/>
          <c:w val="0.89929375320231564"/>
          <c:h val="0.49185745982011497"/>
        </c:manualLayout>
      </c:layout>
      <c:lineChart>
        <c:grouping val="standard"/>
        <c:varyColors val="0"/>
        <c:ser>
          <c:idx val="0"/>
          <c:order val="0"/>
          <c:spPr>
            <a:ln w="25400">
              <a:solidFill>
                <a:srgbClr val="FF0000"/>
              </a:solidFill>
              <a:prstDash val="solid"/>
            </a:ln>
          </c:spPr>
          <c:marker>
            <c:symbol val="none"/>
          </c:marker>
          <c:cat>
            <c:numRef>
              <c:f>[0]!ChartRange_GasIntensity_Year</c:f>
              <c:numCache>
                <c:formatCode>General</c:formatCode>
                <c:ptCount val="36"/>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pt idx="31">
                  <c:v>2021</c:v>
                </c:pt>
                <c:pt idx="32">
                  <c:v>2022</c:v>
                </c:pt>
                <c:pt idx="33">
                  <c:v>2023</c:v>
                </c:pt>
                <c:pt idx="34">
                  <c:v>2024</c:v>
                </c:pt>
                <c:pt idx="35">
                  <c:v>2025</c:v>
                </c:pt>
              </c:numCache>
            </c:numRef>
          </c:cat>
          <c:val>
            <c:numRef>
              <c:f>[0]!ChartRange_GasIntensity_EmissionsperGSP_Gross_Emissions_Intensity</c:f>
              <c:numCache>
                <c:formatCode>_(* #,##0.00_);_(* \(#,##0.00\);_(* "-"??_);_(@_)</c:formatCode>
                <c:ptCount val="36"/>
                <c:pt idx="0">
                  <c:v>879.5541695899874</c:v>
                </c:pt>
                <c:pt idx="1">
                  <c:v>845.76950007787048</c:v>
                </c:pt>
                <c:pt idx="2">
                  <c:v>789.85996841278688</c:v>
                </c:pt>
                <c:pt idx="3">
                  <c:v>806.65502633567314</c:v>
                </c:pt>
                <c:pt idx="4">
                  <c:v>749.12239520552077</c:v>
                </c:pt>
                <c:pt idx="5">
                  <c:v>726.09750621959824</c:v>
                </c:pt>
                <c:pt idx="6">
                  <c:v>729.97601783142341</c:v>
                </c:pt>
                <c:pt idx="7">
                  <c:v>690.93333280435161</c:v>
                </c:pt>
                <c:pt idx="8">
                  <c:v>636.85524844898816</c:v>
                </c:pt>
                <c:pt idx="9">
                  <c:v>625.28012406760183</c:v>
                </c:pt>
                <c:pt idx="10">
                  <c:v>601.18784296316801</c:v>
                </c:pt>
                <c:pt idx="11">
                  <c:v>556.84943402362433</c:v>
                </c:pt>
                <c:pt idx="12">
                  <c:v>554.17806332121677</c:v>
                </c:pt>
                <c:pt idx="13">
                  <c:v>544.2517596011262</c:v>
                </c:pt>
                <c:pt idx="14">
                  <c:v>527.65330553982756</c:v>
                </c:pt>
                <c:pt idx="15">
                  <c:v>512.2489896442288</c:v>
                </c:pt>
                <c:pt idx="16">
                  <c:v>475.83765216129854</c:v>
                </c:pt>
                <c:pt idx="17">
                  <c:v>465.36953734481875</c:v>
                </c:pt>
                <c:pt idx="18">
                  <c:v>463.99419863070142</c:v>
                </c:pt>
                <c:pt idx="19">
                  <c:v>433.76701546521036</c:v>
                </c:pt>
                <c:pt idx="20">
                  <c:v>441.52812196369462</c:v>
                </c:pt>
                <c:pt idx="21">
                  <c:v>419.46266994231706</c:v>
                </c:pt>
                <c:pt idx="22">
                  <c:v>378.78648616113065</c:v>
                </c:pt>
                <c:pt idx="23">
                  <c:v>392.69642067238124</c:v>
                </c:pt>
                <c:pt idx="24">
                  <c:v>382.99022454750349</c:v>
                </c:pt>
                <c:pt idx="25">
                  <c:v>348.45338746880782</c:v>
                </c:pt>
                <c:pt idx="26">
                  <c:v>330.11295104826894</c:v>
                </c:pt>
                <c:pt idx="27">
                  <c:v>320.52138432218231</c:v>
                </c:pt>
                <c:pt idx="28">
                  <c:v>313.77135974849421</c:v>
                </c:pt>
                <c:pt idx="29">
                  <c:v>289.96819007646724</c:v>
                </c:pt>
                <c:pt idx="30">
                  <c:v>260.81446914938857</c:v>
                </c:pt>
                <c:pt idx="31">
                  <c:v>36.638754176752691</c:v>
                </c:pt>
                <c:pt idx="32">
                  <c:v>4.843581556161034</c:v>
                </c:pt>
                <c:pt idx="33">
                  <c:v>0.38308051425057571</c:v>
                </c:pt>
                <c:pt idx="34">
                  <c:v>0.37657349570620263</c:v>
                </c:pt>
                <c:pt idx="35">
                  <c:v>0.37048197779736997</c:v>
                </c:pt>
              </c:numCache>
            </c:numRef>
          </c:val>
          <c:smooth val="0"/>
          <c:extLst>
            <c:ext xmlns:c16="http://schemas.microsoft.com/office/drawing/2014/chart" uri="{C3380CC4-5D6E-409C-BE32-E72D297353CC}">
              <c16:uniqueId val="{00000000-AAF0-4D46-B739-A025B5122027}"/>
            </c:ext>
          </c:extLst>
        </c:ser>
        <c:dLbls>
          <c:showLegendKey val="0"/>
          <c:showVal val="0"/>
          <c:showCatName val="0"/>
          <c:showSerName val="0"/>
          <c:showPercent val="0"/>
          <c:showBubbleSize val="0"/>
        </c:dLbls>
        <c:smooth val="0"/>
        <c:axId val="223343408"/>
        <c:axId val="223343800"/>
      </c:lineChart>
      <c:catAx>
        <c:axId val="223343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23343800"/>
        <c:crosses val="autoZero"/>
        <c:auto val="1"/>
        <c:lblAlgn val="ctr"/>
        <c:lblOffset val="100"/>
        <c:tickLblSkip val="1"/>
        <c:tickMarkSkip val="1"/>
        <c:noMultiLvlLbl val="0"/>
      </c:catAx>
      <c:valAx>
        <c:axId val="223343800"/>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5.7937554185817268E-3"/>
              <c:y val="0.42345346000515677"/>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23343408"/>
        <c:crosses val="autoZero"/>
        <c:crossBetween val="between"/>
      </c:valAx>
      <c:spPr>
        <a:solidFill>
          <a:srgbClr val="FFFFFF"/>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Stationary!$O$28</c:f>
          <c:strCache>
            <c:ptCount val="1"/>
            <c:pt idx="0">
              <c:v>Emissions by Sector, 1990-2020</c:v>
            </c:pt>
          </c:strCache>
        </c:strRef>
      </c:tx>
      <c:layout>
        <c:manualLayout>
          <c:xMode val="edge"/>
          <c:yMode val="edge"/>
          <c:x val="0.36961483925915095"/>
          <c:y val="1.694924755008639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8.6167895859791163E-2"/>
          <c:y val="0.27796656178257712"/>
          <c:w val="0.89796017790729732"/>
          <c:h val="0.52203476237215696"/>
        </c:manualLayout>
      </c:layout>
      <c:lineChart>
        <c:grouping val="standard"/>
        <c:varyColors val="0"/>
        <c:ser>
          <c:idx val="0"/>
          <c:order val="0"/>
          <c:tx>
            <c:strRef>
              <c:f>Stationary!$B$4</c:f>
              <c:strCache>
                <c:ptCount val="1"/>
                <c:pt idx="0">
                  <c:v>Residential</c:v>
                </c:pt>
              </c:strCache>
            </c:strRef>
          </c:tx>
          <c:spPr>
            <a:ln w="12700">
              <a:solidFill>
                <a:srgbClr val="FF9900"/>
              </a:solidFill>
              <a:prstDash val="solid"/>
            </a:ln>
          </c:spPr>
          <c:marker>
            <c:symbol val="diamond"/>
            <c:size val="5"/>
            <c:spPr>
              <a:solidFill>
                <a:srgbClr val="FF9900"/>
              </a:solidFill>
              <a:ln>
                <a:solidFill>
                  <a:srgbClr val="FF9900"/>
                </a:solidFill>
                <a:prstDash val="solid"/>
              </a:ln>
            </c:spPr>
          </c:marker>
          <c:cat>
            <c:numRef>
              <c:f>[0]!ChartRange_Stationary_Year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[0]!ChartRange_Stationary_Residential</c:f>
              <c:numCache>
                <c:formatCode>_(* #,##0.000_);_(* \(#,##0.000\);_(* "-"??_);_(@_)</c:formatCode>
                <c:ptCount val="31"/>
                <c:pt idx="0">
                  <c:v>0.3795516115</c:v>
                </c:pt>
                <c:pt idx="1">
                  <c:v>0.39659838374999995</c:v>
                </c:pt>
                <c:pt idx="2">
                  <c:v>0.41283148732999997</c:v>
                </c:pt>
                <c:pt idx="3">
                  <c:v>0.26032035872999998</c:v>
                </c:pt>
                <c:pt idx="4">
                  <c:v>0.24659562755999995</c:v>
                </c:pt>
                <c:pt idx="5">
                  <c:v>0.24926878746999998</c:v>
                </c:pt>
                <c:pt idx="6">
                  <c:v>0.26220229360000002</c:v>
                </c:pt>
                <c:pt idx="7">
                  <c:v>0.20125326838999996</c:v>
                </c:pt>
                <c:pt idx="8">
                  <c:v>0.17218468782999996</c:v>
                </c:pt>
                <c:pt idx="9">
                  <c:v>0.18408188534999997</c:v>
                </c:pt>
                <c:pt idx="10">
                  <c:v>0.19251929063000001</c:v>
                </c:pt>
                <c:pt idx="11">
                  <c:v>0.22064515199999998</c:v>
                </c:pt>
                <c:pt idx="12">
                  <c:v>0.22871737892999999</c:v>
                </c:pt>
                <c:pt idx="13">
                  <c:v>0.23967408475999996</c:v>
                </c:pt>
                <c:pt idx="14">
                  <c:v>0.23623273482999999</c:v>
                </c:pt>
                <c:pt idx="15">
                  <c:v>0.13700019673000002</c:v>
                </c:pt>
                <c:pt idx="16">
                  <c:v>0.12482105766999999</c:v>
                </c:pt>
                <c:pt idx="17">
                  <c:v>0.13738720502000001</c:v>
                </c:pt>
                <c:pt idx="18">
                  <c:v>0.14914373945999998</c:v>
                </c:pt>
                <c:pt idx="19">
                  <c:v>0.20709018412999997</c:v>
                </c:pt>
                <c:pt idx="20">
                  <c:v>0.21228459644999995</c:v>
                </c:pt>
                <c:pt idx="21">
                  <c:v>0.20729170988000001</c:v>
                </c:pt>
                <c:pt idx="22">
                  <c:v>0.17484585902999997</c:v>
                </c:pt>
                <c:pt idx="23">
                  <c:v>0.22619694017000003</c:v>
                </c:pt>
                <c:pt idx="24">
                  <c:v>0.23079630708999993</c:v>
                </c:pt>
                <c:pt idx="25">
                  <c:v>0.12643061286000001</c:v>
                </c:pt>
                <c:pt idx="26">
                  <c:v>0.11802364113</c:v>
                </c:pt>
                <c:pt idx="27">
                  <c:v>0.11031739269999999</c:v>
                </c:pt>
                <c:pt idx="28">
                  <c:v>0.13381545932</c:v>
                </c:pt>
                <c:pt idx="29">
                  <c:v>0.13964312385999997</c:v>
                </c:pt>
                <c:pt idx="30">
                  <c:v>0.12139825096999997</c:v>
                </c:pt>
              </c:numCache>
            </c:numRef>
          </c:val>
          <c:smooth val="0"/>
          <c:extLst>
            <c:ext xmlns:c16="http://schemas.microsoft.com/office/drawing/2014/chart" uri="{C3380CC4-5D6E-409C-BE32-E72D297353CC}">
              <c16:uniqueId val="{00000000-E917-4C9F-9401-6AA30FB672DE}"/>
            </c:ext>
          </c:extLst>
        </c:ser>
        <c:ser>
          <c:idx val="4"/>
          <c:order val="1"/>
          <c:tx>
            <c:strRef>
              <c:f>Stationary!$B$7</c:f>
              <c:strCache>
                <c:ptCount val="1"/>
                <c:pt idx="0">
                  <c:v>Commercial</c:v>
                </c:pt>
              </c:strCache>
            </c:strRef>
          </c:tx>
          <c:spPr>
            <a:ln w="12700">
              <a:solidFill>
                <a:srgbClr val="0000FF"/>
              </a:solidFill>
              <a:prstDash val="solid"/>
            </a:ln>
          </c:spPr>
          <c:marker>
            <c:symbol val="star"/>
            <c:size val="5"/>
            <c:spPr>
              <a:noFill/>
              <a:ln>
                <a:solidFill>
                  <a:srgbClr val="0000FF"/>
                </a:solidFill>
                <a:prstDash val="solid"/>
              </a:ln>
            </c:spPr>
          </c:marker>
          <c:cat>
            <c:numRef>
              <c:f>[0]!ChartRange_Stationary_Year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[0]!ChartRange_Stationary_Commercial</c:f>
              <c:numCache>
                <c:formatCode>_(* #,##0.000_);_(* \(#,##0.000\);_(* "-"??_);_(@_)</c:formatCode>
                <c:ptCount val="31"/>
                <c:pt idx="0">
                  <c:v>7.4345396229999999E-2</c:v>
                </c:pt>
                <c:pt idx="1">
                  <c:v>7.3710079449999993E-2</c:v>
                </c:pt>
                <c:pt idx="2">
                  <c:v>7.6497522799999995E-2</c:v>
                </c:pt>
                <c:pt idx="3">
                  <c:v>6.4537138669999994E-2</c:v>
                </c:pt>
                <c:pt idx="4">
                  <c:v>6.2880050270000001E-2</c:v>
                </c:pt>
                <c:pt idx="5">
                  <c:v>6.3318322449999992E-2</c:v>
                </c:pt>
                <c:pt idx="6">
                  <c:v>6.6679938549999984E-2</c:v>
                </c:pt>
                <c:pt idx="7">
                  <c:v>6.2247554069999989E-2</c:v>
                </c:pt>
                <c:pt idx="8">
                  <c:v>5.3326264839999998E-2</c:v>
                </c:pt>
                <c:pt idx="9">
                  <c:v>5.4969790469999988E-2</c:v>
                </c:pt>
                <c:pt idx="10">
                  <c:v>5.8864539389999998E-2</c:v>
                </c:pt>
                <c:pt idx="11">
                  <c:v>6.4640160660000001E-2</c:v>
                </c:pt>
                <c:pt idx="12">
                  <c:v>6.6709974219999996E-2</c:v>
                </c:pt>
                <c:pt idx="13">
                  <c:v>6.9613002719999997E-2</c:v>
                </c:pt>
                <c:pt idx="14">
                  <c:v>6.6233218619999992E-2</c:v>
                </c:pt>
                <c:pt idx="15">
                  <c:v>4.7661951680000002E-2</c:v>
                </c:pt>
                <c:pt idx="16">
                  <c:v>4.6373816439999993E-2</c:v>
                </c:pt>
                <c:pt idx="17">
                  <c:v>4.7275939190000005E-2</c:v>
                </c:pt>
                <c:pt idx="18">
                  <c:v>5.3264935989999991E-2</c:v>
                </c:pt>
                <c:pt idx="19">
                  <c:v>6.1432030049999996E-2</c:v>
                </c:pt>
                <c:pt idx="20">
                  <c:v>5.5604029749999992E-2</c:v>
                </c:pt>
                <c:pt idx="21">
                  <c:v>5.7388422090000002E-2</c:v>
                </c:pt>
                <c:pt idx="22">
                  <c:v>5.0565783310000001E-2</c:v>
                </c:pt>
                <c:pt idx="23">
                  <c:v>6.137885098999999E-2</c:v>
                </c:pt>
                <c:pt idx="24">
                  <c:v>6.4204633509999998E-2</c:v>
                </c:pt>
                <c:pt idx="25">
                  <c:v>5.3524393379999993E-2</c:v>
                </c:pt>
                <c:pt idx="26">
                  <c:v>5.3729449390000003E-2</c:v>
                </c:pt>
                <c:pt idx="27">
                  <c:v>5.3755778629999987E-2</c:v>
                </c:pt>
                <c:pt idx="28">
                  <c:v>5.825910736E-2</c:v>
                </c:pt>
                <c:pt idx="29">
                  <c:v>5.9862085889999986E-2</c:v>
                </c:pt>
                <c:pt idx="30">
                  <c:v>5.4649872459999999E-2</c:v>
                </c:pt>
              </c:numCache>
            </c:numRef>
          </c:val>
          <c:smooth val="0"/>
          <c:extLst>
            <c:ext xmlns:c16="http://schemas.microsoft.com/office/drawing/2014/chart" uri="{C3380CC4-5D6E-409C-BE32-E72D297353CC}">
              <c16:uniqueId val="{00000001-E917-4C9F-9401-6AA30FB672DE}"/>
            </c:ext>
          </c:extLst>
        </c:ser>
        <c:ser>
          <c:idx val="6"/>
          <c:order val="2"/>
          <c:tx>
            <c:strRef>
              <c:f>Stationary!$B$10</c:f>
              <c:strCache>
                <c:ptCount val="1"/>
                <c:pt idx="0">
                  <c:v>Industrial</c:v>
                </c:pt>
              </c:strCache>
            </c:strRef>
          </c:tx>
          <c:spPr>
            <a:ln w="12700">
              <a:solidFill>
                <a:srgbClr val="008000"/>
              </a:solidFill>
              <a:prstDash val="solid"/>
            </a:ln>
          </c:spPr>
          <c:marker>
            <c:symbol val="plus"/>
            <c:size val="5"/>
            <c:spPr>
              <a:noFill/>
              <a:ln>
                <a:solidFill>
                  <a:srgbClr val="008000"/>
                </a:solidFill>
                <a:prstDash val="solid"/>
              </a:ln>
            </c:spPr>
          </c:marker>
          <c:cat>
            <c:numRef>
              <c:f>[0]!ChartRange_Stationary_Year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[0]!ChartRange_Stationary_Industrial</c:f>
              <c:numCache>
                <c:formatCode>_(* #,##0.000_);_(* \(#,##0.000\);_(* "-"??_);_(@_)</c:formatCode>
                <c:ptCount val="31"/>
                <c:pt idx="0">
                  <c:v>0.1861315179452</c:v>
                </c:pt>
                <c:pt idx="1">
                  <c:v>0.18664675818133997</c:v>
                </c:pt>
                <c:pt idx="2">
                  <c:v>0.18363510595664001</c:v>
                </c:pt>
                <c:pt idx="3">
                  <c:v>0.18360350642239998</c:v>
                </c:pt>
                <c:pt idx="4">
                  <c:v>0.19146488861453997</c:v>
                </c:pt>
                <c:pt idx="5">
                  <c:v>0.1899256998128</c:v>
                </c:pt>
                <c:pt idx="6">
                  <c:v>0.19883086153632001</c:v>
                </c:pt>
                <c:pt idx="7">
                  <c:v>0.20398257730209995</c:v>
                </c:pt>
                <c:pt idx="8">
                  <c:v>0.19443102520247998</c:v>
                </c:pt>
                <c:pt idx="9">
                  <c:v>0.19614900229235999</c:v>
                </c:pt>
                <c:pt idx="10">
                  <c:v>0.18046542900939996</c:v>
                </c:pt>
                <c:pt idx="11">
                  <c:v>0.16282728764439999</c:v>
                </c:pt>
                <c:pt idx="12">
                  <c:v>0.15384341515031999</c:v>
                </c:pt>
                <c:pt idx="13">
                  <c:v>0.15282242969319998</c:v>
                </c:pt>
                <c:pt idx="14">
                  <c:v>0.15094042336023997</c:v>
                </c:pt>
                <c:pt idx="15">
                  <c:v>0.15465358768649995</c:v>
                </c:pt>
                <c:pt idx="16">
                  <c:v>0.15486582637351998</c:v>
                </c:pt>
                <c:pt idx="17">
                  <c:v>0.15558568494009994</c:v>
                </c:pt>
                <c:pt idx="18">
                  <c:v>0.15193573566739998</c:v>
                </c:pt>
                <c:pt idx="19">
                  <c:v>0.12519608361439996</c:v>
                </c:pt>
                <c:pt idx="20">
                  <c:v>0.14765990798383999</c:v>
                </c:pt>
                <c:pt idx="21">
                  <c:v>0.15206568050134001</c:v>
                </c:pt>
                <c:pt idx="22">
                  <c:v>0.15292643398133995</c:v>
                </c:pt>
                <c:pt idx="23">
                  <c:v>0.15405435578999993</c:v>
                </c:pt>
                <c:pt idx="24">
                  <c:v>0.15603253034105996</c:v>
                </c:pt>
                <c:pt idx="25">
                  <c:v>0.13912066600626</c:v>
                </c:pt>
                <c:pt idx="26">
                  <c:v>0.13551434292028</c:v>
                </c:pt>
                <c:pt idx="27">
                  <c:v>0.13727499355251996</c:v>
                </c:pt>
                <c:pt idx="28">
                  <c:v>0.13614867559999999</c:v>
                </c:pt>
                <c:pt idx="29">
                  <c:v>0.13799787064999997</c:v>
                </c:pt>
                <c:pt idx="30">
                  <c:v>0.13561359160999997</c:v>
                </c:pt>
              </c:numCache>
            </c:numRef>
          </c:val>
          <c:smooth val="0"/>
          <c:extLst>
            <c:ext xmlns:c16="http://schemas.microsoft.com/office/drawing/2014/chart" uri="{C3380CC4-5D6E-409C-BE32-E72D297353CC}">
              <c16:uniqueId val="{00000002-E917-4C9F-9401-6AA30FB672DE}"/>
            </c:ext>
          </c:extLst>
        </c:ser>
        <c:ser>
          <c:idx val="9"/>
          <c:order val="3"/>
          <c:tx>
            <c:strRef>
              <c:f>Stationary!$B$13</c:f>
              <c:strCache>
                <c:ptCount val="1"/>
                <c:pt idx="0">
                  <c:v>Electric Utilities</c:v>
                </c:pt>
              </c:strCache>
            </c:strRef>
          </c:tx>
          <c:spPr>
            <a:ln w="12700">
              <a:solidFill>
                <a:srgbClr val="800080"/>
              </a:solidFill>
              <a:prstDash val="solid"/>
            </a:ln>
          </c:spPr>
          <c:marker>
            <c:symbol val="diamond"/>
            <c:size val="5"/>
            <c:spPr>
              <a:solidFill>
                <a:srgbClr val="800080"/>
              </a:solidFill>
              <a:ln>
                <a:solidFill>
                  <a:srgbClr val="800080"/>
                </a:solidFill>
                <a:prstDash val="solid"/>
              </a:ln>
            </c:spPr>
          </c:marker>
          <c:cat>
            <c:numRef>
              <c:f>[0]!ChartRange_Stationary_Year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[0]!ChartRange_Stationary_Electric_Utilities</c:f>
              <c:numCache>
                <c:formatCode>_(* #,##0.000_);_(* \(#,##0.000\);_(* "-"??_);_(@_)</c:formatCode>
                <c:ptCount val="31"/>
                <c:pt idx="0">
                  <c:v>0.25528461371</c:v>
                </c:pt>
                <c:pt idx="1">
                  <c:v>0.25842648350999997</c:v>
                </c:pt>
                <c:pt idx="2">
                  <c:v>0.23586490030999996</c:v>
                </c:pt>
                <c:pt idx="3">
                  <c:v>0.28412263485999995</c:v>
                </c:pt>
                <c:pt idx="4">
                  <c:v>0.29090035800999997</c:v>
                </c:pt>
                <c:pt idx="5">
                  <c:v>0.29297888760000002</c:v>
                </c:pt>
                <c:pt idx="6">
                  <c:v>0.32997830846000004</c:v>
                </c:pt>
                <c:pt idx="7">
                  <c:v>0.34982392758000008</c:v>
                </c:pt>
                <c:pt idx="8">
                  <c:v>0.34215745901</c:v>
                </c:pt>
                <c:pt idx="9">
                  <c:v>0.34712405785999995</c:v>
                </c:pt>
                <c:pt idx="10">
                  <c:v>0.37656537963000003</c:v>
                </c:pt>
                <c:pt idx="11">
                  <c:v>0.37590702771000001</c:v>
                </c:pt>
                <c:pt idx="12">
                  <c:v>0.38186917062999998</c:v>
                </c:pt>
                <c:pt idx="13">
                  <c:v>0.39045822028999988</c:v>
                </c:pt>
                <c:pt idx="14">
                  <c:v>0.41667104820999995</c:v>
                </c:pt>
                <c:pt idx="15">
                  <c:v>0.40888970324000001</c:v>
                </c:pt>
                <c:pt idx="16">
                  <c:v>0.40560726095999994</c:v>
                </c:pt>
                <c:pt idx="17">
                  <c:v>0.42412208032999998</c:v>
                </c:pt>
                <c:pt idx="18">
                  <c:v>0.42902330175000003</c:v>
                </c:pt>
                <c:pt idx="19">
                  <c:v>0.40077515660999991</c:v>
                </c:pt>
                <c:pt idx="20">
                  <c:v>0.41500638615999996</c:v>
                </c:pt>
                <c:pt idx="21">
                  <c:v>0.40189843308000001</c:v>
                </c:pt>
                <c:pt idx="22">
                  <c:v>0.36761586085999992</c:v>
                </c:pt>
                <c:pt idx="23">
                  <c:v>0.39114261188000005</c:v>
                </c:pt>
                <c:pt idx="24">
                  <c:v>0.38770532772999994</c:v>
                </c:pt>
                <c:pt idx="25">
                  <c:v>0.32849218814999998</c:v>
                </c:pt>
                <c:pt idx="26">
                  <c:v>0.27142412268000005</c:v>
                </c:pt>
                <c:pt idx="27">
                  <c:v>0.26304078079999998</c:v>
                </c:pt>
                <c:pt idx="28">
                  <c:v>0.27197667750000004</c:v>
                </c:pt>
                <c:pt idx="29">
                  <c:v>0.22622378897999995</c:v>
                </c:pt>
                <c:pt idx="30">
                  <c:v>0.14492831354999997</c:v>
                </c:pt>
              </c:numCache>
            </c:numRef>
          </c:val>
          <c:smooth val="0"/>
          <c:extLst>
            <c:ext xmlns:c16="http://schemas.microsoft.com/office/drawing/2014/chart" uri="{C3380CC4-5D6E-409C-BE32-E72D297353CC}">
              <c16:uniqueId val="{00000003-E917-4C9F-9401-6AA30FB672DE}"/>
            </c:ext>
          </c:extLst>
        </c:ser>
        <c:ser>
          <c:idx val="1"/>
          <c:order val="4"/>
          <c:tx>
            <c:strRef>
              <c:f>Stationary!$B$18</c:f>
              <c:strCache>
                <c:ptCount val="1"/>
                <c:pt idx="0">
                  <c:v>Additional N2O Emissions</c:v>
                </c:pt>
              </c:strCache>
            </c:strRef>
          </c:tx>
          <c:spPr>
            <a:ln w="9525"/>
          </c:spPr>
          <c:marker>
            <c:spPr>
              <a:ln w="9525"/>
            </c:spPr>
          </c:marker>
          <c:val>
            <c:numRef>
              <c:f>Stationary!$C$18:$AG$18</c:f>
              <c:numCache>
                <c:formatCode>_(* #,##0.000_);_(* \(#,##0.000\);_(* "-"??_);_(@_)</c:formatCode>
                <c:ptCount val="31"/>
              </c:numCache>
            </c:numRef>
          </c:val>
          <c:smooth val="0"/>
          <c:extLst>
            <c:ext xmlns:c16="http://schemas.microsoft.com/office/drawing/2014/chart" uri="{C3380CC4-5D6E-409C-BE32-E72D297353CC}">
              <c16:uniqueId val="{00000001-B0F7-44A9-BAE5-D7EBFA252AA8}"/>
            </c:ext>
          </c:extLst>
        </c:ser>
        <c:ser>
          <c:idx val="2"/>
          <c:order val="5"/>
          <c:tx>
            <c:strRef>
              <c:f>Stationary!$B$19</c:f>
              <c:strCache>
                <c:ptCount val="1"/>
                <c:pt idx="0">
                  <c:v>Additional CH4 Emissions</c:v>
                </c:pt>
              </c:strCache>
            </c:strRef>
          </c:tx>
          <c:spPr>
            <a:ln w="12700"/>
          </c:spPr>
          <c:marker>
            <c:spPr>
              <a:ln w="12700"/>
            </c:spPr>
          </c:marker>
          <c:val>
            <c:numRef>
              <c:f>Stationary!$C$19:$AF$19</c:f>
              <c:numCache>
                <c:formatCode>_(* #,##0.000_);_(* \(#,##0.000\);_(* "-"??_);_(@_)</c:formatCode>
                <c:ptCount val="30"/>
              </c:numCache>
            </c:numRef>
          </c:val>
          <c:smooth val="0"/>
          <c:extLst>
            <c:ext xmlns:c16="http://schemas.microsoft.com/office/drawing/2014/chart" uri="{C3380CC4-5D6E-409C-BE32-E72D297353CC}">
              <c16:uniqueId val="{00000001-2382-4624-BDCE-6ED867AFA6F7}"/>
            </c:ext>
          </c:extLst>
        </c:ser>
        <c:dLbls>
          <c:showLegendKey val="0"/>
          <c:showVal val="0"/>
          <c:showCatName val="0"/>
          <c:showSerName val="0"/>
          <c:showPercent val="0"/>
          <c:showBubbleSize val="0"/>
        </c:dLbls>
        <c:marker val="1"/>
        <c:smooth val="0"/>
        <c:axId val="218840952"/>
        <c:axId val="218841344"/>
      </c:lineChart>
      <c:catAx>
        <c:axId val="218840952"/>
        <c:scaling>
          <c:orientation val="minMax"/>
        </c:scaling>
        <c:delete val="0"/>
        <c:axPos val="b"/>
        <c:title>
          <c:tx>
            <c:rich>
              <a:bodyPr/>
              <a:lstStyle/>
              <a:p>
                <a:pPr>
                  <a:defRPr sz="900" b="1" i="0" u="none" strike="noStrike" baseline="0">
                    <a:solidFill>
                      <a:srgbClr val="000000"/>
                    </a:solidFill>
                    <a:latin typeface="Comic Sans MS"/>
                    <a:ea typeface="Comic Sans MS"/>
                    <a:cs typeface="Comic Sans MS"/>
                  </a:defRPr>
                </a:pPr>
                <a:r>
                  <a:rPr lang="en-US"/>
                  <a:t>Year</a:t>
                </a:r>
              </a:p>
            </c:rich>
          </c:tx>
          <c:layout>
            <c:manualLayout>
              <c:xMode val="edge"/>
              <c:yMode val="edge"/>
              <c:x val="0.51700734026283846"/>
              <c:y val="0.898306493095398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8841344"/>
        <c:crosses val="autoZero"/>
        <c:auto val="1"/>
        <c:lblAlgn val="ctr"/>
        <c:lblOffset val="100"/>
        <c:tickLblSkip val="1"/>
        <c:tickMarkSkip val="1"/>
        <c:noMultiLvlLbl val="0"/>
      </c:catAx>
      <c:valAx>
        <c:axId val="218841344"/>
        <c:scaling>
          <c:orientation val="minMax"/>
        </c:scaling>
        <c:delete val="0"/>
        <c:axPos val="l"/>
        <c:title>
          <c:tx>
            <c:rich>
              <a:bodyPr/>
              <a:lstStyle/>
              <a:p>
                <a:pPr>
                  <a:defRPr sz="1100" b="0" i="0" u="none" strike="noStrike" baseline="0">
                    <a:solidFill>
                      <a:srgbClr val="000000"/>
                    </a:solidFill>
                    <a:latin typeface="Calibri"/>
                    <a:ea typeface="Calibri"/>
                    <a:cs typeface="Calibri"/>
                  </a:defRPr>
                </a:pPr>
                <a:r>
                  <a:rPr lang="en-US" sz="900" b="0" i="0" u="none" strike="noStrike" baseline="0">
                    <a:solidFill>
                      <a:srgbClr val="000000"/>
                    </a:solidFill>
                    <a:latin typeface="Comic Sans MS"/>
                  </a:rPr>
                  <a:t>Emissions (MMTCO</a:t>
                </a:r>
                <a:r>
                  <a:rPr lang="en-US" sz="900" b="0" i="0" u="none" strike="noStrike" baseline="-25000">
                    <a:solidFill>
                      <a:srgbClr val="000000"/>
                    </a:solidFill>
                    <a:latin typeface="Comic Sans MS"/>
                  </a:rPr>
                  <a:t>2</a:t>
                </a:r>
                <a:r>
                  <a:rPr lang="en-US" sz="900" b="0" i="0" u="none" strike="noStrike" baseline="0">
                    <a:solidFill>
                      <a:srgbClr val="000000"/>
                    </a:solidFill>
                    <a:latin typeface="Comic Sans MS"/>
                  </a:rPr>
                  <a:t>E)</a:t>
                </a:r>
              </a:p>
            </c:rich>
          </c:tx>
          <c:layout>
            <c:manualLayout>
              <c:xMode val="edge"/>
              <c:yMode val="edge"/>
              <c:x val="5.6689200322108278E-3"/>
              <c:y val="0.32203438452103034"/>
            </c:manualLayout>
          </c:layout>
          <c:overlay val="0"/>
          <c:spPr>
            <a:noFill/>
            <a:ln w="25400">
              <a:noFill/>
            </a:ln>
          </c:spPr>
        </c:title>
        <c:numFmt formatCode="_(* #,##0.000_);_(* \(#,##0.00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8840952"/>
        <c:crosses val="autoZero"/>
        <c:crossBetween val="between"/>
        <c:majorUnit val="0.5"/>
        <c:minorUnit val="0.1"/>
      </c:valAx>
      <c:spPr>
        <a:noFill/>
        <a:ln w="25400">
          <a:noFill/>
        </a:ln>
      </c:spPr>
    </c:plotArea>
    <c:legend>
      <c:legendPos val="r"/>
      <c:layout>
        <c:manualLayout>
          <c:xMode val="edge"/>
          <c:yMode val="edge"/>
          <c:x val="5.7419856237675253E-2"/>
          <c:y val="0.14223249513165692"/>
          <c:w val="0.92470029233700912"/>
          <c:h val="7.9528419603287312E-2"/>
        </c:manualLayout>
      </c:layout>
      <c:overlay val="0"/>
      <c:spPr>
        <a:solidFill>
          <a:srgbClr val="FFFFFF"/>
        </a:solidFill>
        <a:ln w="25400">
          <a:noFill/>
        </a:ln>
      </c:spPr>
      <c:txPr>
        <a:bodyPr/>
        <a:lstStyle/>
        <a:p>
          <a:pPr>
            <a:defRPr sz="71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Comic Sans MS"/>
          <a:ea typeface="Comic Sans MS"/>
          <a:cs typeface="Comic Sans MS"/>
        </a:defRPr>
      </a:pPr>
      <a:endParaRPr lang="en-US"/>
    </a:p>
  </c:txPr>
  <c:printSettings>
    <c:headerFooter alignWithMargins="0"/>
    <c:pageMargins b="1" l="0.75" r="0.7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Combustion'!$BN$10</c:f>
          <c:strCache>
            <c:ptCount val="1"/>
            <c:pt idx="0">
              <c:v>Methane Emissions from Non-Highway Mobile Sources, 1990-2020</c:v>
            </c:pt>
          </c:strCache>
        </c:strRef>
      </c:tx>
      <c:layout>
        <c:manualLayout>
          <c:xMode val="edge"/>
          <c:yMode val="edge"/>
          <c:x val="0.16238834360988361"/>
          <c:y val="3.0409416745513736E-2"/>
        </c:manualLayout>
      </c:layout>
      <c:overlay val="0"/>
      <c:spPr>
        <a:noFill/>
        <a:ln w="25400">
          <a:noFill/>
        </a:ln>
      </c:spPr>
      <c:txPr>
        <a:bodyPr/>
        <a:lstStyle/>
        <a:p>
          <a:pPr algn="ct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0520707302712878"/>
          <c:y val="0.22884047566932134"/>
          <c:w val="0.69134091188478197"/>
          <c:h val="0.60188179902068084"/>
        </c:manualLayout>
      </c:layout>
      <c:lineChart>
        <c:grouping val="standard"/>
        <c:varyColors val="0"/>
        <c:ser>
          <c:idx val="0"/>
          <c:order val="0"/>
          <c:tx>
            <c:strRef>
              <c:f>'Mobile Combustion'!$B$69</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[0]!ChartRange_CH4_Boats</c:f>
              <c:numCache>
                <c:formatCode>_(* #,##0_);_(* \(#,##0\);_(* "-"??_);_(@_)</c:formatCode>
                <c:ptCount val="31"/>
                <c:pt idx="0">
                  <c:v>2551.3375920238736</c:v>
                </c:pt>
                <c:pt idx="1">
                  <c:v>3234.6157183718174</c:v>
                </c:pt>
                <c:pt idx="2">
                  <c:v>2635.3745488577033</c:v>
                </c:pt>
                <c:pt idx="3">
                  <c:v>2373.9919030863566</c:v>
                </c:pt>
                <c:pt idx="4">
                  <c:v>2472.9177523185608</c:v>
                </c:pt>
                <c:pt idx="5">
                  <c:v>2877.7491092129858</c:v>
                </c:pt>
                <c:pt idx="6">
                  <c:v>2640.3067087488989</c:v>
                </c:pt>
                <c:pt idx="7">
                  <c:v>2712.5544398501902</c:v>
                </c:pt>
                <c:pt idx="8">
                  <c:v>2636.567818169874</c:v>
                </c:pt>
                <c:pt idx="9">
                  <c:v>2979.9373529709937</c:v>
                </c:pt>
                <c:pt idx="10">
                  <c:v>3089.9688550037504</c:v>
                </c:pt>
                <c:pt idx="11">
                  <c:v>3373.5792633644037</c:v>
                </c:pt>
                <c:pt idx="12">
                  <c:v>3271.2186269439194</c:v>
                </c:pt>
                <c:pt idx="13">
                  <c:v>3856.1790980557125</c:v>
                </c:pt>
                <c:pt idx="14">
                  <c:v>72.61296772965251</c:v>
                </c:pt>
                <c:pt idx="15">
                  <c:v>3647.9863658500112</c:v>
                </c:pt>
                <c:pt idx="16">
                  <c:v>3989.4618727853212</c:v>
                </c:pt>
                <c:pt idx="17">
                  <c:v>3655.991391673494</c:v>
                </c:pt>
                <c:pt idx="18">
                  <c:v>3486.1644808930214</c:v>
                </c:pt>
                <c:pt idx="19">
                  <c:v>3437.0298193209965</c:v>
                </c:pt>
                <c:pt idx="20">
                  <c:v>3525.0619084621644</c:v>
                </c:pt>
                <c:pt idx="21">
                  <c:v>3279.1406706546773</c:v>
                </c:pt>
                <c:pt idx="22">
                  <c:v>3426.5674790989874</c:v>
                </c:pt>
                <c:pt idx="23">
                  <c:v>3551.3946701630939</c:v>
                </c:pt>
                <c:pt idx="24">
                  <c:v>2865.8361557477065</c:v>
                </c:pt>
                <c:pt idx="25">
                  <c:v>4973.5768603532333</c:v>
                </c:pt>
                <c:pt idx="26">
                  <c:v>4972.2857246669228</c:v>
                </c:pt>
                <c:pt idx="27">
                  <c:v>5019.9627926666963</c:v>
                </c:pt>
                <c:pt idx="28">
                  <c:v>4898.9662980871963</c:v>
                </c:pt>
                <c:pt idx="29">
                  <c:v>4889.5766535446674</c:v>
                </c:pt>
                <c:pt idx="30">
                  <c:v>5087.6372457245834</c:v>
                </c:pt>
              </c:numCache>
            </c:numRef>
          </c:val>
          <c:smooth val="0"/>
          <c:extLst>
            <c:ext xmlns:c16="http://schemas.microsoft.com/office/drawing/2014/chart" uri="{C3380CC4-5D6E-409C-BE32-E72D297353CC}">
              <c16:uniqueId val="{00000000-6C5A-45A7-92F7-3CEEEBD1C197}"/>
            </c:ext>
          </c:extLst>
        </c:ser>
        <c:ser>
          <c:idx val="1"/>
          <c:order val="1"/>
          <c:tx>
            <c:strRef>
              <c:f>'Mobile Combustion'!$B$70</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[0]!ChartRange_CH4_Locomotives</c:f>
              <c:numCache>
                <c:formatCode>_(* #,##0_);_(* \(#,##0\);_(* "-"??_);_(@_)</c:formatCode>
                <c:ptCount val="31"/>
                <c:pt idx="0">
                  <c:v>3651.9483</c:v>
                </c:pt>
                <c:pt idx="1">
                  <c:v>2982.4044250000006</c:v>
                </c:pt>
                <c:pt idx="2">
                  <c:v>2862.9100499999995</c:v>
                </c:pt>
                <c:pt idx="3">
                  <c:v>3042.3142749999997</c:v>
                </c:pt>
                <c:pt idx="4">
                  <c:v>3478.0245500000001</c:v>
                </c:pt>
                <c:pt idx="5">
                  <c:v>4577.5479749999986</c:v>
                </c:pt>
                <c:pt idx="6">
                  <c:v>5024.9699499999997</c:v>
                </c:pt>
                <c:pt idx="7">
                  <c:v>3744.5407999999989</c:v>
                </c:pt>
                <c:pt idx="8">
                  <c:v>2610.9333250000004</c:v>
                </c:pt>
                <c:pt idx="9">
                  <c:v>3087.0089249999996</c:v>
                </c:pt>
                <c:pt idx="10">
                  <c:v>2664.2115500000004</c:v>
                </c:pt>
                <c:pt idx="11">
                  <c:v>1862.2604000000001</c:v>
                </c:pt>
                <c:pt idx="12">
                  <c:v>2617.2896750000004</c:v>
                </c:pt>
                <c:pt idx="13">
                  <c:v>5049.6195749999997</c:v>
                </c:pt>
                <c:pt idx="14">
                  <c:v>1699.2725750000002</c:v>
                </c:pt>
                <c:pt idx="15">
                  <c:v>1575.5489750000002</c:v>
                </c:pt>
                <c:pt idx="16">
                  <c:v>1116.7656500000001</c:v>
                </c:pt>
                <c:pt idx="17">
                  <c:v>1104.2281250000003</c:v>
                </c:pt>
                <c:pt idx="18">
                  <c:v>1362.736375</c:v>
                </c:pt>
                <c:pt idx="19">
                  <c:v>1575.5740000000001</c:v>
                </c:pt>
                <c:pt idx="20">
                  <c:v>2227.9256999999998</c:v>
                </c:pt>
                <c:pt idx="21">
                  <c:v>1657.0804249999999</c:v>
                </c:pt>
                <c:pt idx="22">
                  <c:v>1873.0461749999999</c:v>
                </c:pt>
                <c:pt idx="23">
                  <c:v>2078.1510750000002</c:v>
                </c:pt>
                <c:pt idx="24">
                  <c:v>3802.4236250000004</c:v>
                </c:pt>
                <c:pt idx="25">
                  <c:v>5194.7145250000003</c:v>
                </c:pt>
                <c:pt idx="26">
                  <c:v>6057.2261750000007</c:v>
                </c:pt>
                <c:pt idx="27">
                  <c:v>7381.0987249999989</c:v>
                </c:pt>
                <c:pt idx="28">
                  <c:v>7863.0802249999997</c:v>
                </c:pt>
                <c:pt idx="29">
                  <c:v>7283.6513749999995</c:v>
                </c:pt>
                <c:pt idx="30">
                  <c:v>5840.3344999999999</c:v>
                </c:pt>
              </c:numCache>
            </c:numRef>
          </c:val>
          <c:smooth val="0"/>
          <c:extLst>
            <c:ext xmlns:c16="http://schemas.microsoft.com/office/drawing/2014/chart" uri="{C3380CC4-5D6E-409C-BE32-E72D297353CC}">
              <c16:uniqueId val="{00000001-6C5A-45A7-92F7-3CEEEBD1C197}"/>
            </c:ext>
          </c:extLst>
        </c:ser>
        <c:ser>
          <c:idx val="2"/>
          <c:order val="2"/>
          <c:tx>
            <c:strRef>
              <c:f>'Mobile Combustion'!$B$71</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[0]!ChartRange_CH4_Farm</c:f>
              <c:numCache>
                <c:formatCode>_(* #,##0_);_(* \(#,##0\);_(* "-"??_);_(@_)</c:formatCode>
                <c:ptCount val="31"/>
                <c:pt idx="0">
                  <c:v>8975.9957108110848</c:v>
                </c:pt>
                <c:pt idx="1">
                  <c:v>8095.8216326937718</c:v>
                </c:pt>
                <c:pt idx="2">
                  <c:v>8792.1916493761419</c:v>
                </c:pt>
                <c:pt idx="3">
                  <c:v>8215.6159839446173</c:v>
                </c:pt>
                <c:pt idx="4">
                  <c:v>8104.9584030947781</c:v>
                </c:pt>
                <c:pt idx="5">
                  <c:v>9661.2884782574056</c:v>
                </c:pt>
                <c:pt idx="6">
                  <c:v>9069.5861460223805</c:v>
                </c:pt>
                <c:pt idx="7">
                  <c:v>9159.0101900425616</c:v>
                </c:pt>
                <c:pt idx="8">
                  <c:v>9033.4255436066887</c:v>
                </c:pt>
                <c:pt idx="9">
                  <c:v>6506.7700305224407</c:v>
                </c:pt>
                <c:pt idx="10">
                  <c:v>7150.394321454366</c:v>
                </c:pt>
                <c:pt idx="11">
                  <c:v>6725.1392416342878</c:v>
                </c:pt>
                <c:pt idx="12">
                  <c:v>6700.1551017058628</c:v>
                </c:pt>
                <c:pt idx="13">
                  <c:v>7113.1510647955329</c:v>
                </c:pt>
                <c:pt idx="14">
                  <c:v>7430.8599242476794</c:v>
                </c:pt>
                <c:pt idx="15">
                  <c:v>7520.3340615732777</c:v>
                </c:pt>
                <c:pt idx="16">
                  <c:v>8495.983856277704</c:v>
                </c:pt>
                <c:pt idx="17">
                  <c:v>8395.3754099964353</c:v>
                </c:pt>
                <c:pt idx="18">
                  <c:v>9049.4486373529289</c:v>
                </c:pt>
                <c:pt idx="19">
                  <c:v>5958.145276690112</c:v>
                </c:pt>
                <c:pt idx="20">
                  <c:v>6598.631308478738</c:v>
                </c:pt>
                <c:pt idx="21">
                  <c:v>6976.3441146666182</c:v>
                </c:pt>
                <c:pt idx="22">
                  <c:v>7088.9244284941187</c:v>
                </c:pt>
                <c:pt idx="23">
                  <c:v>7403.4389030394768</c:v>
                </c:pt>
                <c:pt idx="24">
                  <c:v>7875.6659320571562</c:v>
                </c:pt>
                <c:pt idx="25">
                  <c:v>7038.425124079542</c:v>
                </c:pt>
                <c:pt idx="26">
                  <c:v>7103.9872989645191</c:v>
                </c:pt>
                <c:pt idx="27">
                  <c:v>7045.9453625050928</c:v>
                </c:pt>
                <c:pt idx="28">
                  <c:v>7317.2762674381793</c:v>
                </c:pt>
                <c:pt idx="29">
                  <c:v>6497.0893106484436</c:v>
                </c:pt>
                <c:pt idx="30">
                  <c:v>7288.3822568108553</c:v>
                </c:pt>
              </c:numCache>
            </c:numRef>
          </c:val>
          <c:smooth val="0"/>
          <c:extLst>
            <c:ext xmlns:c16="http://schemas.microsoft.com/office/drawing/2014/chart" uri="{C3380CC4-5D6E-409C-BE32-E72D297353CC}">
              <c16:uniqueId val="{00000002-6C5A-45A7-92F7-3CEEEBD1C197}"/>
            </c:ext>
          </c:extLst>
        </c:ser>
        <c:ser>
          <c:idx val="3"/>
          <c:order val="3"/>
          <c:tx>
            <c:strRef>
              <c:f>'Mobile Combustion'!$B$72</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[0]!ChartRange_CH4_Construction_Equipment</c:f>
              <c:numCache>
                <c:formatCode>_(* #,##0_);_(* \(#,##0\);_(* "-"??_);_(@_)</c:formatCode>
                <c:ptCount val="31"/>
                <c:pt idx="0">
                  <c:v>6759.2733916589859</c:v>
                </c:pt>
                <c:pt idx="1">
                  <c:v>6058.9736934612529</c:v>
                </c:pt>
                <c:pt idx="2">
                  <c:v>6314.2821325254417</c:v>
                </c:pt>
                <c:pt idx="3">
                  <c:v>6907.8857230310377</c:v>
                </c:pt>
                <c:pt idx="4">
                  <c:v>6899.9629103583648</c:v>
                </c:pt>
                <c:pt idx="5">
                  <c:v>5609.6547187767383</c:v>
                </c:pt>
                <c:pt idx="6">
                  <c:v>6001.0835656638001</c:v>
                </c:pt>
                <c:pt idx="7">
                  <c:v>5848.776878712637</c:v>
                </c:pt>
                <c:pt idx="8">
                  <c:v>5481.8520555702144</c:v>
                </c:pt>
                <c:pt idx="9">
                  <c:v>5739.336749186491</c:v>
                </c:pt>
                <c:pt idx="10">
                  <c:v>5574.663450114439</c:v>
                </c:pt>
                <c:pt idx="11">
                  <c:v>6676.1982036262589</c:v>
                </c:pt>
                <c:pt idx="12">
                  <c:v>8125.3625139994865</c:v>
                </c:pt>
                <c:pt idx="13">
                  <c:v>9736.4363188918378</c:v>
                </c:pt>
                <c:pt idx="14">
                  <c:v>8625.0882862024682</c:v>
                </c:pt>
                <c:pt idx="15">
                  <c:v>10469.643287785859</c:v>
                </c:pt>
                <c:pt idx="16">
                  <c:v>10473.40809878361</c:v>
                </c:pt>
                <c:pt idx="17">
                  <c:v>8888.9629039071569</c:v>
                </c:pt>
                <c:pt idx="18">
                  <c:v>7954.9406724408873</c:v>
                </c:pt>
                <c:pt idx="19">
                  <c:v>7547.0859190415158</c:v>
                </c:pt>
                <c:pt idx="20">
                  <c:v>7886.8231564677844</c:v>
                </c:pt>
                <c:pt idx="21">
                  <c:v>8876.2012371424007</c:v>
                </c:pt>
                <c:pt idx="22">
                  <c:v>7917.9895484665522</c:v>
                </c:pt>
                <c:pt idx="23">
                  <c:v>9560.5582886478842</c:v>
                </c:pt>
                <c:pt idx="24">
                  <c:v>8156.471000411776</c:v>
                </c:pt>
                <c:pt idx="25">
                  <c:v>4550.4723610844503</c:v>
                </c:pt>
                <c:pt idx="26">
                  <c:v>4686.1379247280083</c:v>
                </c:pt>
                <c:pt idx="27">
                  <c:v>5050.2032599550539</c:v>
                </c:pt>
                <c:pt idx="28">
                  <c:v>5208.4300943990484</c:v>
                </c:pt>
                <c:pt idx="29">
                  <c:v>5335.9550551332732</c:v>
                </c:pt>
                <c:pt idx="30">
                  <c:v>4953.093344842946</c:v>
                </c:pt>
              </c:numCache>
            </c:numRef>
          </c:val>
          <c:smooth val="0"/>
          <c:extLst>
            <c:ext xmlns:c16="http://schemas.microsoft.com/office/drawing/2014/chart" uri="{C3380CC4-5D6E-409C-BE32-E72D297353CC}">
              <c16:uniqueId val="{00000003-6C5A-45A7-92F7-3CEEEBD1C197}"/>
            </c:ext>
          </c:extLst>
        </c:ser>
        <c:ser>
          <c:idx val="4"/>
          <c:order val="4"/>
          <c:tx>
            <c:strRef>
              <c:f>'Mobile Combustion'!$B$73</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[0]!ChartRange_CH4_Aircraft</c:f>
              <c:numCache>
                <c:formatCode>_(* #,##0_);_(* \(#,##0\);_(* "-"??_);_(@_)</c:formatCode>
                <c:ptCount val="31"/>
                <c:pt idx="0">
                  <c:v>2575.9902444259196</c:v>
                </c:pt>
                <c:pt idx="1">
                  <c:v>3439.2515676892808</c:v>
                </c:pt>
                <c:pt idx="2">
                  <c:v>3734.6309400892796</c:v>
                </c:pt>
                <c:pt idx="3">
                  <c:v>4735.3683593596807</c:v>
                </c:pt>
                <c:pt idx="4">
                  <c:v>4649.1298757971208</c:v>
                </c:pt>
                <c:pt idx="5">
                  <c:v>4968.2231569151982</c:v>
                </c:pt>
                <c:pt idx="6">
                  <c:v>5387.3227178265597</c:v>
                </c:pt>
                <c:pt idx="7">
                  <c:v>5476.6347627801606</c:v>
                </c:pt>
                <c:pt idx="8">
                  <c:v>5439.1279194470408</c:v>
                </c:pt>
                <c:pt idx="9">
                  <c:v>7033.1248681881616</c:v>
                </c:pt>
                <c:pt idx="10">
                  <c:v>8268.3048735436805</c:v>
                </c:pt>
                <c:pt idx="11">
                  <c:v>6671.8763684966398</c:v>
                </c:pt>
                <c:pt idx="12">
                  <c:v>5708.8831258368</c:v>
                </c:pt>
                <c:pt idx="13">
                  <c:v>5451.0019219353608</c:v>
                </c:pt>
                <c:pt idx="14">
                  <c:v>8088.9475809945607</c:v>
                </c:pt>
                <c:pt idx="15">
                  <c:v>12947.05501641216</c:v>
                </c:pt>
                <c:pt idx="16">
                  <c:v>9468.0877038182371</c:v>
                </c:pt>
                <c:pt idx="17">
                  <c:v>9732.2788246118398</c:v>
                </c:pt>
                <c:pt idx="18">
                  <c:v>9346.4683345151971</c:v>
                </c:pt>
                <c:pt idx="19">
                  <c:v>8168.5522426367997</c:v>
                </c:pt>
                <c:pt idx="20">
                  <c:v>9515.0427423743986</c:v>
                </c:pt>
                <c:pt idx="21">
                  <c:v>9557.8448163071989</c:v>
                </c:pt>
                <c:pt idx="22">
                  <c:v>9047.460668359683</c:v>
                </c:pt>
                <c:pt idx="23">
                  <c:v>9059.0164010035205</c:v>
                </c:pt>
                <c:pt idx="24">
                  <c:v>9260.3224202496003</c:v>
                </c:pt>
                <c:pt idx="25">
                  <c:v>10047.426867824639</c:v>
                </c:pt>
                <c:pt idx="26">
                  <c:v>10178.656667397119</c:v>
                </c:pt>
                <c:pt idx="27">
                  <c:v>10261.379737512962</c:v>
                </c:pt>
                <c:pt idx="28">
                  <c:v>10157.13456382464</c:v>
                </c:pt>
                <c:pt idx="29">
                  <c:v>10318.83532839936</c:v>
                </c:pt>
                <c:pt idx="30">
                  <c:v>6303.3097607424006</c:v>
                </c:pt>
              </c:numCache>
            </c:numRef>
          </c:val>
          <c:smooth val="0"/>
          <c:extLst>
            <c:ext xmlns:c16="http://schemas.microsoft.com/office/drawing/2014/chart" uri="{C3380CC4-5D6E-409C-BE32-E72D297353CC}">
              <c16:uniqueId val="{00000004-6C5A-45A7-92F7-3CEEEBD1C197}"/>
            </c:ext>
          </c:extLst>
        </c:ser>
        <c:ser>
          <c:idx val="5"/>
          <c:order val="5"/>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[0]!ChartRange_CH4_Other</c:f>
              <c:numCache>
                <c:formatCode>_(* #,##0_);_(* \(#,##0\);_(* "-"??_);_(@_)</c:formatCode>
                <c:ptCount val="31"/>
                <c:pt idx="0">
                  <c:v>4330.5218283854492</c:v>
                </c:pt>
                <c:pt idx="1">
                  <c:v>4357.1718354375389</c:v>
                </c:pt>
                <c:pt idx="2">
                  <c:v>4506.8992559690778</c:v>
                </c:pt>
                <c:pt idx="3">
                  <c:v>14967.187744417448</c:v>
                </c:pt>
                <c:pt idx="4">
                  <c:v>9364.9101398150869</c:v>
                </c:pt>
                <c:pt idx="5">
                  <c:v>9295.0016458559257</c:v>
                </c:pt>
                <c:pt idx="6">
                  <c:v>9342.3718414592222</c:v>
                </c:pt>
                <c:pt idx="7">
                  <c:v>9691.0034750065734</c:v>
                </c:pt>
                <c:pt idx="8">
                  <c:v>13065.677411216589</c:v>
                </c:pt>
                <c:pt idx="9">
                  <c:v>14427.110853038472</c:v>
                </c:pt>
                <c:pt idx="10">
                  <c:v>15338.634220591266</c:v>
                </c:pt>
                <c:pt idx="11">
                  <c:v>15502.234623329608</c:v>
                </c:pt>
                <c:pt idx="12">
                  <c:v>15874.143661408421</c:v>
                </c:pt>
                <c:pt idx="13">
                  <c:v>16566.105910954866</c:v>
                </c:pt>
                <c:pt idx="14">
                  <c:v>17401.919436773242</c:v>
                </c:pt>
                <c:pt idx="15">
                  <c:v>17631.735178423602</c:v>
                </c:pt>
                <c:pt idx="16">
                  <c:v>18120.302903122036</c:v>
                </c:pt>
                <c:pt idx="17">
                  <c:v>6245.5861774425057</c:v>
                </c:pt>
                <c:pt idx="18">
                  <c:v>6461.2164210874453</c:v>
                </c:pt>
                <c:pt idx="19">
                  <c:v>6447.5459492062337</c:v>
                </c:pt>
                <c:pt idx="20">
                  <c:v>20584.949825455664</c:v>
                </c:pt>
                <c:pt idx="21">
                  <c:v>18452.647035425736</c:v>
                </c:pt>
                <c:pt idx="22">
                  <c:v>22143.399338077241</c:v>
                </c:pt>
                <c:pt idx="23">
                  <c:v>18548.213199522223</c:v>
                </c:pt>
                <c:pt idx="24">
                  <c:v>18974.961087560529</c:v>
                </c:pt>
                <c:pt idx="25">
                  <c:v>17194.374420782602</c:v>
                </c:pt>
                <c:pt idx="26">
                  <c:v>17272.493743612871</c:v>
                </c:pt>
                <c:pt idx="27">
                  <c:v>17445.232278547057</c:v>
                </c:pt>
                <c:pt idx="28">
                  <c:v>17587.908114499885</c:v>
                </c:pt>
                <c:pt idx="29">
                  <c:v>17765.790062120526</c:v>
                </c:pt>
                <c:pt idx="30">
                  <c:v>16851.185337626379</c:v>
                </c:pt>
              </c:numCache>
            </c:numRef>
          </c:val>
          <c:smooth val="0"/>
          <c:extLst>
            <c:ext xmlns:c16="http://schemas.microsoft.com/office/drawing/2014/chart" uri="{C3380CC4-5D6E-409C-BE32-E72D297353CC}">
              <c16:uniqueId val="{00000005-6C5A-45A7-92F7-3CEEEBD1C197}"/>
            </c:ext>
          </c:extLst>
        </c:ser>
        <c:dLbls>
          <c:showLegendKey val="0"/>
          <c:showVal val="0"/>
          <c:showCatName val="0"/>
          <c:showSerName val="0"/>
          <c:showPercent val="0"/>
          <c:showBubbleSize val="0"/>
        </c:dLbls>
        <c:marker val="1"/>
        <c:smooth val="0"/>
        <c:axId val="217309336"/>
        <c:axId val="217309728"/>
      </c:lineChart>
      <c:catAx>
        <c:axId val="217309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7309728"/>
        <c:crosses val="autoZero"/>
        <c:auto val="1"/>
        <c:lblAlgn val="ctr"/>
        <c:lblOffset val="100"/>
        <c:tickLblSkip val="1"/>
        <c:tickMarkSkip val="1"/>
        <c:noMultiLvlLbl val="0"/>
      </c:catAx>
      <c:valAx>
        <c:axId val="217309728"/>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1652611470903416E-3"/>
              <c:y val="0.44514177742524202"/>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7309336"/>
        <c:crosses val="autoZero"/>
        <c:crossBetween val="between"/>
      </c:valAx>
      <c:spPr>
        <a:solidFill>
          <a:srgbClr val="FFFFFF"/>
        </a:solidFill>
        <a:ln w="12700">
          <a:solidFill>
            <a:srgbClr val="FFFFFF"/>
          </a:solidFill>
          <a:prstDash val="solid"/>
        </a:ln>
      </c:spPr>
    </c:plotArea>
    <c:legend>
      <c:legendPos val="r"/>
      <c:layout>
        <c:manualLayout>
          <c:xMode val="edge"/>
          <c:yMode val="edge"/>
          <c:x val="0.83319688599147534"/>
          <c:y val="0.28716989950923111"/>
          <c:w val="0.15776509083862256"/>
          <c:h val="0.61710978405175199"/>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Combustion'!$BN$9</c:f>
          <c:strCache>
            <c:ptCount val="1"/>
            <c:pt idx="0">
              <c:v>Methane Emissions from Mobile Sources, by Mode/Vehicle Type, 1990-2020</c:v>
            </c:pt>
          </c:strCache>
        </c:strRef>
      </c:tx>
      <c:layout>
        <c:manualLayout>
          <c:xMode val="edge"/>
          <c:yMode val="edge"/>
          <c:x val="0.20689655172413793"/>
          <c:y val="3.4375160825485043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1124794745484401"/>
          <c:y val="0.19062499999999999"/>
          <c:w val="0.71387520525451564"/>
          <c:h val="0.640625"/>
        </c:manualLayout>
      </c:layout>
      <c:lineChart>
        <c:grouping val="standard"/>
        <c:varyColors val="0"/>
        <c:ser>
          <c:idx val="6"/>
          <c:order val="0"/>
          <c:tx>
            <c:strRef>
              <c:f>'Mobile Combustion'!$B$58</c:f>
              <c:strCache>
                <c:ptCount val="1"/>
                <c:pt idx="0">
                  <c:v>Gasoline Highway</c:v>
                </c:pt>
              </c:strCache>
            </c:strRef>
          </c:tx>
          <c:spPr>
            <a:ln w="12700">
              <a:solidFill>
                <a:srgbClr val="008080"/>
              </a:solidFill>
              <a:prstDash val="solid"/>
            </a:ln>
          </c:spPr>
          <c:marker>
            <c:symbol val="plus"/>
            <c:size val="5"/>
            <c:spPr>
              <a:noFill/>
              <a:ln>
                <a:solidFill>
                  <a:srgbClr val="00808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[0]!ChartRange_CH4_Gasoile_Highway</c:f>
              <c:numCache>
                <c:formatCode>_(* #,##0_);_(* \(#,##0\);_(* "-"??_);_(@_)</c:formatCode>
                <c:ptCount val="31"/>
                <c:pt idx="0">
                  <c:v>229491.85067994089</c:v>
                </c:pt>
                <c:pt idx="1">
                  <c:v>227186.55934968666</c:v>
                </c:pt>
                <c:pt idx="2">
                  <c:v>223301.45597360126</c:v>
                </c:pt>
                <c:pt idx="3">
                  <c:v>219867.75693853444</c:v>
                </c:pt>
                <c:pt idx="4">
                  <c:v>215893.68479323422</c:v>
                </c:pt>
                <c:pt idx="5">
                  <c:v>209531.07633763208</c:v>
                </c:pt>
                <c:pt idx="6">
                  <c:v>203465.78302720276</c:v>
                </c:pt>
                <c:pt idx="7">
                  <c:v>195176.30471014563</c:v>
                </c:pt>
                <c:pt idx="8">
                  <c:v>185800.36154816207</c:v>
                </c:pt>
                <c:pt idx="9">
                  <c:v>157306.68468734916</c:v>
                </c:pt>
                <c:pt idx="10">
                  <c:v>142731.82490645404</c:v>
                </c:pt>
                <c:pt idx="11">
                  <c:v>128372.68005273156</c:v>
                </c:pt>
                <c:pt idx="12">
                  <c:v>117794.21622841465</c:v>
                </c:pt>
                <c:pt idx="13">
                  <c:v>108333.65643581405</c:v>
                </c:pt>
                <c:pt idx="14">
                  <c:v>100200.74364825284</c:v>
                </c:pt>
                <c:pt idx="15">
                  <c:v>90089.727622111372</c:v>
                </c:pt>
                <c:pt idx="16">
                  <c:v>79415.300941386915</c:v>
                </c:pt>
                <c:pt idx="17">
                  <c:v>73535.881546543489</c:v>
                </c:pt>
                <c:pt idx="18">
                  <c:v>67331.677476671</c:v>
                </c:pt>
                <c:pt idx="19">
                  <c:v>61140.554097505308</c:v>
                </c:pt>
                <c:pt idx="20">
                  <c:v>57575.429247863336</c:v>
                </c:pt>
                <c:pt idx="21">
                  <c:v>53597.681638766226</c:v>
                </c:pt>
                <c:pt idx="22">
                  <c:v>48030.300110925426</c:v>
                </c:pt>
                <c:pt idx="23">
                  <c:v>43305.185427400153</c:v>
                </c:pt>
                <c:pt idx="24">
                  <c:v>38433.303210338017</c:v>
                </c:pt>
                <c:pt idx="25">
                  <c:v>34499.083988753162</c:v>
                </c:pt>
                <c:pt idx="26">
                  <c:v>33433.327159856155</c:v>
                </c:pt>
                <c:pt idx="27">
                  <c:v>30374.101900946182</c:v>
                </c:pt>
                <c:pt idx="28">
                  <c:v>27875.507958939976</c:v>
                </c:pt>
                <c:pt idx="29">
                  <c:v>29507.753718562239</c:v>
                </c:pt>
                <c:pt idx="30">
                  <c:v>21697.471093433574</c:v>
                </c:pt>
              </c:numCache>
            </c:numRef>
          </c:val>
          <c:smooth val="0"/>
          <c:extLst>
            <c:ext xmlns:c16="http://schemas.microsoft.com/office/drawing/2014/chart" uri="{C3380CC4-5D6E-409C-BE32-E72D297353CC}">
              <c16:uniqueId val="{00000000-7D58-405B-BBF8-8C09A7956866}"/>
            </c:ext>
          </c:extLst>
        </c:ser>
        <c:ser>
          <c:idx val="7"/>
          <c:order val="1"/>
          <c:tx>
            <c:strRef>
              <c:f>'Mobile Combustion'!$B$63</c:f>
              <c:strCache>
                <c:ptCount val="1"/>
                <c:pt idx="0">
                  <c:v>Diesel Highway</c:v>
                </c:pt>
              </c:strCache>
            </c:strRef>
          </c:tx>
          <c:spPr>
            <a:ln w="12700">
              <a:solidFill>
                <a:srgbClr val="0000FF"/>
              </a:solidFill>
              <a:prstDash val="solid"/>
            </a:ln>
          </c:spPr>
          <c:marker>
            <c:symbol val="dot"/>
            <c:size val="5"/>
            <c:spPr>
              <a:noFill/>
              <a:ln>
                <a:solidFill>
                  <a:srgbClr val="0000FF"/>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[0]!ChartRange_CH4_Diesel_Highway</c:f>
              <c:numCache>
                <c:formatCode>_(* #,##0_);_(* \(#,##0\);_(* "-"??_);_(@_)</c:formatCode>
                <c:ptCount val="31"/>
                <c:pt idx="0">
                  <c:v>688.91173672709874</c:v>
                </c:pt>
                <c:pt idx="1">
                  <c:v>707.58792679473993</c:v>
                </c:pt>
                <c:pt idx="2">
                  <c:v>743.94940892718114</c:v>
                </c:pt>
                <c:pt idx="3">
                  <c:v>758.98258213641839</c:v>
                </c:pt>
                <c:pt idx="4">
                  <c:v>828.08648646719337</c:v>
                </c:pt>
                <c:pt idx="5">
                  <c:v>874.83524318836839</c:v>
                </c:pt>
                <c:pt idx="6">
                  <c:v>901.53328742894439</c:v>
                </c:pt>
                <c:pt idx="7">
                  <c:v>951.06385853305301</c:v>
                </c:pt>
                <c:pt idx="8">
                  <c:v>975.92207700751715</c:v>
                </c:pt>
                <c:pt idx="9">
                  <c:v>1005.6624123652105</c:v>
                </c:pt>
                <c:pt idx="10">
                  <c:v>1006.4922807356112</c:v>
                </c:pt>
                <c:pt idx="11">
                  <c:v>1043.3668114245631</c:v>
                </c:pt>
                <c:pt idx="12">
                  <c:v>1068.067966842551</c:v>
                </c:pt>
                <c:pt idx="13">
                  <c:v>1069.6812969409705</c:v>
                </c:pt>
                <c:pt idx="14">
                  <c:v>1119.5564529535955</c:v>
                </c:pt>
                <c:pt idx="15">
                  <c:v>1080.4978157478679</c:v>
                </c:pt>
                <c:pt idx="16">
                  <c:v>1174.3091485411953</c:v>
                </c:pt>
                <c:pt idx="17">
                  <c:v>1464.9631877331321</c:v>
                </c:pt>
                <c:pt idx="18">
                  <c:v>1663.1731816268955</c:v>
                </c:pt>
                <c:pt idx="19">
                  <c:v>2020.888304279493</c:v>
                </c:pt>
                <c:pt idx="20">
                  <c:v>2132.7631221996048</c:v>
                </c:pt>
                <c:pt idx="21">
                  <c:v>2121.799586964979</c:v>
                </c:pt>
                <c:pt idx="22">
                  <c:v>2340.3786540951742</c:v>
                </c:pt>
                <c:pt idx="23">
                  <c:v>2557.5325547018629</c:v>
                </c:pt>
                <c:pt idx="24">
                  <c:v>2746.7528258114116</c:v>
                </c:pt>
                <c:pt idx="25">
                  <c:v>2845.187715839802</c:v>
                </c:pt>
                <c:pt idx="26">
                  <c:v>2757.6310650711198</c:v>
                </c:pt>
                <c:pt idx="27">
                  <c:v>2871.093324567727</c:v>
                </c:pt>
                <c:pt idx="28">
                  <c:v>3073.2953937725333</c:v>
                </c:pt>
                <c:pt idx="29">
                  <c:v>2986.9217591023198</c:v>
                </c:pt>
                <c:pt idx="30">
                  <c:v>2685.2972863597629</c:v>
                </c:pt>
              </c:numCache>
            </c:numRef>
          </c:val>
          <c:smooth val="0"/>
          <c:extLst>
            <c:ext xmlns:c16="http://schemas.microsoft.com/office/drawing/2014/chart" uri="{C3380CC4-5D6E-409C-BE32-E72D297353CC}">
              <c16:uniqueId val="{00000001-7D58-405B-BBF8-8C09A7956866}"/>
            </c:ext>
          </c:extLst>
        </c:ser>
        <c:ser>
          <c:idx val="0"/>
          <c:order val="2"/>
          <c:tx>
            <c:strRef>
              <c:f>'Mobile Combustion'!$B$69</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[0]!ChartRange_CH4_Boats</c:f>
              <c:numCache>
                <c:formatCode>_(* #,##0_);_(* \(#,##0\);_(* "-"??_);_(@_)</c:formatCode>
                <c:ptCount val="31"/>
                <c:pt idx="0">
                  <c:v>2551.3375920238736</c:v>
                </c:pt>
                <c:pt idx="1">
                  <c:v>3234.6157183718174</c:v>
                </c:pt>
                <c:pt idx="2">
                  <c:v>2635.3745488577033</c:v>
                </c:pt>
                <c:pt idx="3">
                  <c:v>2373.9919030863566</c:v>
                </c:pt>
                <c:pt idx="4">
                  <c:v>2472.9177523185608</c:v>
                </c:pt>
                <c:pt idx="5">
                  <c:v>2877.7491092129858</c:v>
                </c:pt>
                <c:pt idx="6">
                  <c:v>2640.3067087488989</c:v>
                </c:pt>
                <c:pt idx="7">
                  <c:v>2712.5544398501902</c:v>
                </c:pt>
                <c:pt idx="8">
                  <c:v>2636.567818169874</c:v>
                </c:pt>
                <c:pt idx="9">
                  <c:v>2979.9373529709937</c:v>
                </c:pt>
                <c:pt idx="10">
                  <c:v>3089.9688550037504</c:v>
                </c:pt>
                <c:pt idx="11">
                  <c:v>3373.5792633644037</c:v>
                </c:pt>
                <c:pt idx="12">
                  <c:v>3271.2186269439194</c:v>
                </c:pt>
                <c:pt idx="13">
                  <c:v>3856.1790980557125</c:v>
                </c:pt>
                <c:pt idx="14">
                  <c:v>72.61296772965251</c:v>
                </c:pt>
                <c:pt idx="15">
                  <c:v>3647.9863658500112</c:v>
                </c:pt>
                <c:pt idx="16">
                  <c:v>3989.4618727853212</c:v>
                </c:pt>
                <c:pt idx="17">
                  <c:v>3655.991391673494</c:v>
                </c:pt>
                <c:pt idx="18">
                  <c:v>3486.1644808930214</c:v>
                </c:pt>
                <c:pt idx="19">
                  <c:v>3437.0298193209965</c:v>
                </c:pt>
                <c:pt idx="20">
                  <c:v>3525.0619084621644</c:v>
                </c:pt>
                <c:pt idx="21">
                  <c:v>3279.1406706546773</c:v>
                </c:pt>
                <c:pt idx="22">
                  <c:v>3426.5674790989874</c:v>
                </c:pt>
                <c:pt idx="23">
                  <c:v>3551.3946701630939</c:v>
                </c:pt>
                <c:pt idx="24">
                  <c:v>2865.8361557477065</c:v>
                </c:pt>
                <c:pt idx="25">
                  <c:v>4973.5768603532333</c:v>
                </c:pt>
                <c:pt idx="26">
                  <c:v>4972.2857246669228</c:v>
                </c:pt>
                <c:pt idx="27">
                  <c:v>5019.9627926666963</c:v>
                </c:pt>
                <c:pt idx="28">
                  <c:v>4898.9662980871963</c:v>
                </c:pt>
                <c:pt idx="29">
                  <c:v>4889.5766535446674</c:v>
                </c:pt>
                <c:pt idx="30">
                  <c:v>5087.6372457245834</c:v>
                </c:pt>
              </c:numCache>
            </c:numRef>
          </c:val>
          <c:smooth val="0"/>
          <c:extLst>
            <c:ext xmlns:c16="http://schemas.microsoft.com/office/drawing/2014/chart" uri="{C3380CC4-5D6E-409C-BE32-E72D297353CC}">
              <c16:uniqueId val="{00000002-7D58-405B-BBF8-8C09A7956866}"/>
            </c:ext>
          </c:extLst>
        </c:ser>
        <c:ser>
          <c:idx val="1"/>
          <c:order val="3"/>
          <c:tx>
            <c:strRef>
              <c:f>'Mobile Combustion'!$B$70</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[0]!ChartRange_CH4_Locomotives</c:f>
              <c:numCache>
                <c:formatCode>_(* #,##0_);_(* \(#,##0\);_(* "-"??_);_(@_)</c:formatCode>
                <c:ptCount val="31"/>
                <c:pt idx="0">
                  <c:v>3651.9483</c:v>
                </c:pt>
                <c:pt idx="1">
                  <c:v>2982.4044250000006</c:v>
                </c:pt>
                <c:pt idx="2">
                  <c:v>2862.9100499999995</c:v>
                </c:pt>
                <c:pt idx="3">
                  <c:v>3042.3142749999997</c:v>
                </c:pt>
                <c:pt idx="4">
                  <c:v>3478.0245500000001</c:v>
                </c:pt>
                <c:pt idx="5">
                  <c:v>4577.5479749999986</c:v>
                </c:pt>
                <c:pt idx="6">
                  <c:v>5024.9699499999997</c:v>
                </c:pt>
                <c:pt idx="7">
                  <c:v>3744.5407999999989</c:v>
                </c:pt>
                <c:pt idx="8">
                  <c:v>2610.9333250000004</c:v>
                </c:pt>
                <c:pt idx="9">
                  <c:v>3087.0089249999996</c:v>
                </c:pt>
                <c:pt idx="10">
                  <c:v>2664.2115500000004</c:v>
                </c:pt>
                <c:pt idx="11">
                  <c:v>1862.2604000000001</c:v>
                </c:pt>
                <c:pt idx="12">
                  <c:v>2617.2896750000004</c:v>
                </c:pt>
                <c:pt idx="13">
                  <c:v>5049.6195749999997</c:v>
                </c:pt>
                <c:pt idx="14">
                  <c:v>1699.2725750000002</c:v>
                </c:pt>
                <c:pt idx="15">
                  <c:v>1575.5489750000002</c:v>
                </c:pt>
                <c:pt idx="16">
                  <c:v>1116.7656500000001</c:v>
                </c:pt>
                <c:pt idx="17">
                  <c:v>1104.2281250000003</c:v>
                </c:pt>
                <c:pt idx="18">
                  <c:v>1362.736375</c:v>
                </c:pt>
                <c:pt idx="19">
                  <c:v>1575.5740000000001</c:v>
                </c:pt>
                <c:pt idx="20">
                  <c:v>2227.9256999999998</c:v>
                </c:pt>
                <c:pt idx="21">
                  <c:v>1657.0804249999999</c:v>
                </c:pt>
                <c:pt idx="22">
                  <c:v>1873.0461749999999</c:v>
                </c:pt>
                <c:pt idx="23">
                  <c:v>2078.1510750000002</c:v>
                </c:pt>
                <c:pt idx="24">
                  <c:v>3802.4236250000004</c:v>
                </c:pt>
                <c:pt idx="25">
                  <c:v>5194.7145250000003</c:v>
                </c:pt>
                <c:pt idx="26">
                  <c:v>6057.2261750000007</c:v>
                </c:pt>
                <c:pt idx="27">
                  <c:v>7381.0987249999989</c:v>
                </c:pt>
                <c:pt idx="28">
                  <c:v>7863.0802249999997</c:v>
                </c:pt>
                <c:pt idx="29">
                  <c:v>7283.6513749999995</c:v>
                </c:pt>
                <c:pt idx="30">
                  <c:v>5840.3344999999999</c:v>
                </c:pt>
              </c:numCache>
            </c:numRef>
          </c:val>
          <c:smooth val="0"/>
          <c:extLst>
            <c:ext xmlns:c16="http://schemas.microsoft.com/office/drawing/2014/chart" uri="{C3380CC4-5D6E-409C-BE32-E72D297353CC}">
              <c16:uniqueId val="{00000003-7D58-405B-BBF8-8C09A7956866}"/>
            </c:ext>
          </c:extLst>
        </c:ser>
        <c:ser>
          <c:idx val="2"/>
          <c:order val="4"/>
          <c:tx>
            <c:strRef>
              <c:f>'Mobile Combustion'!$B$71</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[0]!ChartRange_CH4_Farm</c:f>
              <c:numCache>
                <c:formatCode>_(* #,##0_);_(* \(#,##0\);_(* "-"??_);_(@_)</c:formatCode>
                <c:ptCount val="31"/>
                <c:pt idx="0">
                  <c:v>8975.9957108110848</c:v>
                </c:pt>
                <c:pt idx="1">
                  <c:v>8095.8216326937718</c:v>
                </c:pt>
                <c:pt idx="2">
                  <c:v>8792.1916493761419</c:v>
                </c:pt>
                <c:pt idx="3">
                  <c:v>8215.6159839446173</c:v>
                </c:pt>
                <c:pt idx="4">
                  <c:v>8104.9584030947781</c:v>
                </c:pt>
                <c:pt idx="5">
                  <c:v>9661.2884782574056</c:v>
                </c:pt>
                <c:pt idx="6">
                  <c:v>9069.5861460223805</c:v>
                </c:pt>
                <c:pt idx="7">
                  <c:v>9159.0101900425616</c:v>
                </c:pt>
                <c:pt idx="8">
                  <c:v>9033.4255436066887</c:v>
                </c:pt>
                <c:pt idx="9">
                  <c:v>6506.7700305224407</c:v>
                </c:pt>
                <c:pt idx="10">
                  <c:v>7150.394321454366</c:v>
                </c:pt>
                <c:pt idx="11">
                  <c:v>6725.1392416342878</c:v>
                </c:pt>
                <c:pt idx="12">
                  <c:v>6700.1551017058628</c:v>
                </c:pt>
                <c:pt idx="13">
                  <c:v>7113.1510647955329</c:v>
                </c:pt>
                <c:pt idx="14">
                  <c:v>7430.8599242476794</c:v>
                </c:pt>
                <c:pt idx="15">
                  <c:v>7520.3340615732777</c:v>
                </c:pt>
                <c:pt idx="16">
                  <c:v>8495.983856277704</c:v>
                </c:pt>
                <c:pt idx="17">
                  <c:v>8395.3754099964353</c:v>
                </c:pt>
                <c:pt idx="18">
                  <c:v>9049.4486373529289</c:v>
                </c:pt>
                <c:pt idx="19">
                  <c:v>5958.145276690112</c:v>
                </c:pt>
                <c:pt idx="20">
                  <c:v>6598.631308478738</c:v>
                </c:pt>
                <c:pt idx="21">
                  <c:v>6976.3441146666182</c:v>
                </c:pt>
                <c:pt idx="22">
                  <c:v>7088.9244284941187</c:v>
                </c:pt>
                <c:pt idx="23">
                  <c:v>7403.4389030394768</c:v>
                </c:pt>
                <c:pt idx="24">
                  <c:v>7875.6659320571562</c:v>
                </c:pt>
                <c:pt idx="25">
                  <c:v>7038.425124079542</c:v>
                </c:pt>
                <c:pt idx="26">
                  <c:v>7103.9872989645191</c:v>
                </c:pt>
                <c:pt idx="27">
                  <c:v>7045.9453625050928</c:v>
                </c:pt>
                <c:pt idx="28">
                  <c:v>7317.2762674381793</c:v>
                </c:pt>
                <c:pt idx="29">
                  <c:v>6497.0893106484436</c:v>
                </c:pt>
                <c:pt idx="30">
                  <c:v>7288.3822568108553</c:v>
                </c:pt>
              </c:numCache>
            </c:numRef>
          </c:val>
          <c:smooth val="0"/>
          <c:extLst>
            <c:ext xmlns:c16="http://schemas.microsoft.com/office/drawing/2014/chart" uri="{C3380CC4-5D6E-409C-BE32-E72D297353CC}">
              <c16:uniqueId val="{00000004-7D58-405B-BBF8-8C09A7956866}"/>
            </c:ext>
          </c:extLst>
        </c:ser>
        <c:ser>
          <c:idx val="3"/>
          <c:order val="5"/>
          <c:tx>
            <c:strRef>
              <c:f>'Mobile Combustion'!$B$72</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[0]!ChartRange_CH4_Construction_Equipment</c:f>
              <c:numCache>
                <c:formatCode>_(* #,##0_);_(* \(#,##0\);_(* "-"??_);_(@_)</c:formatCode>
                <c:ptCount val="31"/>
                <c:pt idx="0">
                  <c:v>6759.2733916589859</c:v>
                </c:pt>
                <c:pt idx="1">
                  <c:v>6058.9736934612529</c:v>
                </c:pt>
                <c:pt idx="2">
                  <c:v>6314.2821325254417</c:v>
                </c:pt>
                <c:pt idx="3">
                  <c:v>6907.8857230310377</c:v>
                </c:pt>
                <c:pt idx="4">
                  <c:v>6899.9629103583648</c:v>
                </c:pt>
                <c:pt idx="5">
                  <c:v>5609.6547187767383</c:v>
                </c:pt>
                <c:pt idx="6">
                  <c:v>6001.0835656638001</c:v>
                </c:pt>
                <c:pt idx="7">
                  <c:v>5848.776878712637</c:v>
                </c:pt>
                <c:pt idx="8">
                  <c:v>5481.8520555702144</c:v>
                </c:pt>
                <c:pt idx="9">
                  <c:v>5739.336749186491</c:v>
                </c:pt>
                <c:pt idx="10">
                  <c:v>5574.663450114439</c:v>
                </c:pt>
                <c:pt idx="11">
                  <c:v>6676.1982036262589</c:v>
                </c:pt>
                <c:pt idx="12">
                  <c:v>8125.3625139994865</c:v>
                </c:pt>
                <c:pt idx="13">
                  <c:v>9736.4363188918378</c:v>
                </c:pt>
                <c:pt idx="14">
                  <c:v>8625.0882862024682</c:v>
                </c:pt>
                <c:pt idx="15">
                  <c:v>10469.643287785859</c:v>
                </c:pt>
                <c:pt idx="16">
                  <c:v>10473.40809878361</c:v>
                </c:pt>
                <c:pt idx="17">
                  <c:v>8888.9629039071569</c:v>
                </c:pt>
                <c:pt idx="18">
                  <c:v>7954.9406724408873</c:v>
                </c:pt>
                <c:pt idx="19">
                  <c:v>7547.0859190415158</c:v>
                </c:pt>
                <c:pt idx="20">
                  <c:v>7886.8231564677844</c:v>
                </c:pt>
                <c:pt idx="21">
                  <c:v>8876.2012371424007</c:v>
                </c:pt>
                <c:pt idx="22">
                  <c:v>7917.9895484665522</c:v>
                </c:pt>
                <c:pt idx="23">
                  <c:v>9560.5582886478842</c:v>
                </c:pt>
                <c:pt idx="24">
                  <c:v>8156.471000411776</c:v>
                </c:pt>
                <c:pt idx="25">
                  <c:v>4550.4723610844503</c:v>
                </c:pt>
                <c:pt idx="26">
                  <c:v>4686.1379247280083</c:v>
                </c:pt>
                <c:pt idx="27">
                  <c:v>5050.2032599550539</c:v>
                </c:pt>
                <c:pt idx="28">
                  <c:v>5208.4300943990484</c:v>
                </c:pt>
                <c:pt idx="29">
                  <c:v>5335.9550551332732</c:v>
                </c:pt>
                <c:pt idx="30">
                  <c:v>4953.093344842946</c:v>
                </c:pt>
              </c:numCache>
            </c:numRef>
          </c:val>
          <c:smooth val="0"/>
          <c:extLst>
            <c:ext xmlns:c16="http://schemas.microsoft.com/office/drawing/2014/chart" uri="{C3380CC4-5D6E-409C-BE32-E72D297353CC}">
              <c16:uniqueId val="{00000005-7D58-405B-BBF8-8C09A7956866}"/>
            </c:ext>
          </c:extLst>
        </c:ser>
        <c:ser>
          <c:idx val="4"/>
          <c:order val="6"/>
          <c:tx>
            <c:strRef>
              <c:f>'Mobile Combustion'!$B$73</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[0]!ChartRange_CH4_Aircraft</c:f>
              <c:numCache>
                <c:formatCode>_(* #,##0_);_(* \(#,##0\);_(* "-"??_);_(@_)</c:formatCode>
                <c:ptCount val="31"/>
                <c:pt idx="0">
                  <c:v>2575.9902444259196</c:v>
                </c:pt>
                <c:pt idx="1">
                  <c:v>3439.2515676892808</c:v>
                </c:pt>
                <c:pt idx="2">
                  <c:v>3734.6309400892796</c:v>
                </c:pt>
                <c:pt idx="3">
                  <c:v>4735.3683593596807</c:v>
                </c:pt>
                <c:pt idx="4">
                  <c:v>4649.1298757971208</c:v>
                </c:pt>
                <c:pt idx="5">
                  <c:v>4968.2231569151982</c:v>
                </c:pt>
                <c:pt idx="6">
                  <c:v>5387.3227178265597</c:v>
                </c:pt>
                <c:pt idx="7">
                  <c:v>5476.6347627801606</c:v>
                </c:pt>
                <c:pt idx="8">
                  <c:v>5439.1279194470408</c:v>
                </c:pt>
                <c:pt idx="9">
                  <c:v>7033.1248681881616</c:v>
                </c:pt>
                <c:pt idx="10">
                  <c:v>8268.3048735436805</c:v>
                </c:pt>
                <c:pt idx="11">
                  <c:v>6671.8763684966398</c:v>
                </c:pt>
                <c:pt idx="12">
                  <c:v>5708.8831258368</c:v>
                </c:pt>
                <c:pt idx="13">
                  <c:v>5451.0019219353608</c:v>
                </c:pt>
                <c:pt idx="14">
                  <c:v>8088.9475809945607</c:v>
                </c:pt>
                <c:pt idx="15">
                  <c:v>12947.05501641216</c:v>
                </c:pt>
                <c:pt idx="16">
                  <c:v>9468.0877038182371</c:v>
                </c:pt>
                <c:pt idx="17">
                  <c:v>9732.2788246118398</c:v>
                </c:pt>
                <c:pt idx="18">
                  <c:v>9346.4683345151971</c:v>
                </c:pt>
                <c:pt idx="19">
                  <c:v>8168.5522426367997</c:v>
                </c:pt>
                <c:pt idx="20">
                  <c:v>9515.0427423743986</c:v>
                </c:pt>
                <c:pt idx="21">
                  <c:v>9557.8448163071989</c:v>
                </c:pt>
                <c:pt idx="22">
                  <c:v>9047.460668359683</c:v>
                </c:pt>
                <c:pt idx="23">
                  <c:v>9059.0164010035205</c:v>
                </c:pt>
                <c:pt idx="24">
                  <c:v>9260.3224202496003</c:v>
                </c:pt>
                <c:pt idx="25">
                  <c:v>10047.426867824639</c:v>
                </c:pt>
                <c:pt idx="26">
                  <c:v>10178.656667397119</c:v>
                </c:pt>
                <c:pt idx="27">
                  <c:v>10261.379737512962</c:v>
                </c:pt>
                <c:pt idx="28">
                  <c:v>10157.13456382464</c:v>
                </c:pt>
                <c:pt idx="29">
                  <c:v>10318.83532839936</c:v>
                </c:pt>
                <c:pt idx="30">
                  <c:v>6303.3097607424006</c:v>
                </c:pt>
              </c:numCache>
            </c:numRef>
          </c:val>
          <c:smooth val="0"/>
          <c:extLst>
            <c:ext xmlns:c16="http://schemas.microsoft.com/office/drawing/2014/chart" uri="{C3380CC4-5D6E-409C-BE32-E72D297353CC}">
              <c16:uniqueId val="{00000006-7D58-405B-BBF8-8C09A7956866}"/>
            </c:ext>
          </c:extLst>
        </c:ser>
        <c:ser>
          <c:idx val="5"/>
          <c:order val="7"/>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[0]!ChartRange_CH4_Other</c:f>
              <c:numCache>
                <c:formatCode>_(* #,##0_);_(* \(#,##0\);_(* "-"??_);_(@_)</c:formatCode>
                <c:ptCount val="31"/>
                <c:pt idx="0">
                  <c:v>4330.5218283854492</c:v>
                </c:pt>
                <c:pt idx="1">
                  <c:v>4357.1718354375389</c:v>
                </c:pt>
                <c:pt idx="2">
                  <c:v>4506.8992559690778</c:v>
                </c:pt>
                <c:pt idx="3">
                  <c:v>14967.187744417448</c:v>
                </c:pt>
                <c:pt idx="4">
                  <c:v>9364.9101398150869</c:v>
                </c:pt>
                <c:pt idx="5">
                  <c:v>9295.0016458559257</c:v>
                </c:pt>
                <c:pt idx="6">
                  <c:v>9342.3718414592222</c:v>
                </c:pt>
                <c:pt idx="7">
                  <c:v>9691.0034750065734</c:v>
                </c:pt>
                <c:pt idx="8">
                  <c:v>13065.677411216589</c:v>
                </c:pt>
                <c:pt idx="9">
                  <c:v>14427.110853038472</c:v>
                </c:pt>
                <c:pt idx="10">
                  <c:v>15338.634220591266</c:v>
                </c:pt>
                <c:pt idx="11">
                  <c:v>15502.234623329608</c:v>
                </c:pt>
                <c:pt idx="12">
                  <c:v>15874.143661408421</c:v>
                </c:pt>
                <c:pt idx="13">
                  <c:v>16566.105910954866</c:v>
                </c:pt>
                <c:pt idx="14">
                  <c:v>17401.919436773242</c:v>
                </c:pt>
                <c:pt idx="15">
                  <c:v>17631.735178423602</c:v>
                </c:pt>
                <c:pt idx="16">
                  <c:v>18120.302903122036</c:v>
                </c:pt>
                <c:pt idx="17">
                  <c:v>6245.5861774425057</c:v>
                </c:pt>
                <c:pt idx="18">
                  <c:v>6461.2164210874453</c:v>
                </c:pt>
                <c:pt idx="19">
                  <c:v>6447.5459492062337</c:v>
                </c:pt>
                <c:pt idx="20">
                  <c:v>20584.949825455664</c:v>
                </c:pt>
                <c:pt idx="21">
                  <c:v>18452.647035425736</c:v>
                </c:pt>
                <c:pt idx="22">
                  <c:v>22143.399338077241</c:v>
                </c:pt>
                <c:pt idx="23">
                  <c:v>18548.213199522223</c:v>
                </c:pt>
                <c:pt idx="24">
                  <c:v>18974.961087560529</c:v>
                </c:pt>
                <c:pt idx="25">
                  <c:v>17194.374420782602</c:v>
                </c:pt>
                <c:pt idx="26">
                  <c:v>17272.493743612871</c:v>
                </c:pt>
                <c:pt idx="27">
                  <c:v>17445.232278547057</c:v>
                </c:pt>
                <c:pt idx="28">
                  <c:v>17587.908114499885</c:v>
                </c:pt>
                <c:pt idx="29">
                  <c:v>17765.790062120526</c:v>
                </c:pt>
                <c:pt idx="30">
                  <c:v>16851.185337626379</c:v>
                </c:pt>
              </c:numCache>
            </c:numRef>
          </c:val>
          <c:smooth val="0"/>
          <c:extLst>
            <c:ext xmlns:c16="http://schemas.microsoft.com/office/drawing/2014/chart" uri="{C3380CC4-5D6E-409C-BE32-E72D297353CC}">
              <c16:uniqueId val="{00000007-7D58-405B-BBF8-8C09A7956866}"/>
            </c:ext>
          </c:extLst>
        </c:ser>
        <c:ser>
          <c:idx val="8"/>
          <c:order val="8"/>
          <c:tx>
            <c:strRef>
              <c:f>'Mobile Combustion'!$B$75</c:f>
              <c:strCache>
                <c:ptCount val="1"/>
                <c:pt idx="0">
                  <c:v>Alternative Fuel Vehicles</c:v>
                </c:pt>
              </c:strCache>
            </c:strRef>
          </c:tx>
          <c:spPr>
            <a:ln w="12700">
              <a:solidFill>
                <a:srgbClr val="FF9900"/>
              </a:solidFill>
              <a:prstDash val="solid"/>
            </a:ln>
          </c:spPr>
          <c:marker>
            <c:symbol val="dash"/>
            <c:size val="5"/>
            <c:spPr>
              <a:noFill/>
              <a:ln>
                <a:solidFill>
                  <a:srgbClr val="FF9900"/>
                </a:solidFill>
                <a:prstDash val="solid"/>
              </a:ln>
            </c:spPr>
          </c:marker>
          <c:cat>
            <c:numRef>
              <c:f>[0]!ChartRange_CH4_Year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[0]!ChartRange_CH4_Alternative_Fuel_Vehicles</c:f>
              <c:numCache>
                <c:formatCode>_(* #,##0_);_(* \(#,##0\);_(* "-"??_);_(@_)</c:formatCode>
                <c:ptCount val="31"/>
                <c:pt idx="0">
                  <c:v>2.1946784041136271</c:v>
                </c:pt>
                <c:pt idx="1">
                  <c:v>2.4597608043027126</c:v>
                </c:pt>
                <c:pt idx="2">
                  <c:v>2.5372864113088598</c:v>
                </c:pt>
                <c:pt idx="3">
                  <c:v>3.3071036557407316</c:v>
                </c:pt>
                <c:pt idx="4">
                  <c:v>3.6187900104884592</c:v>
                </c:pt>
                <c:pt idx="5">
                  <c:v>5.5076815139527708</c:v>
                </c:pt>
                <c:pt idx="6">
                  <c:v>13.102931149634804</c:v>
                </c:pt>
                <c:pt idx="7">
                  <c:v>33.060449071272537</c:v>
                </c:pt>
                <c:pt idx="8">
                  <c:v>69.36537951665602</c:v>
                </c:pt>
                <c:pt idx="9">
                  <c:v>135.07209299950583</c:v>
                </c:pt>
                <c:pt idx="10">
                  <c:v>239.89808780220292</c:v>
                </c:pt>
                <c:pt idx="11">
                  <c:v>391.13942068979344</c:v>
                </c:pt>
                <c:pt idx="12">
                  <c:v>571.85957478536079</c:v>
                </c:pt>
                <c:pt idx="13">
                  <c:v>683.40191426586932</c:v>
                </c:pt>
                <c:pt idx="14">
                  <c:v>781.45858168050722</c:v>
                </c:pt>
                <c:pt idx="15">
                  <c:v>875.16897607694091</c:v>
                </c:pt>
                <c:pt idx="16">
                  <c:v>986.95366265726807</c:v>
                </c:pt>
                <c:pt idx="17">
                  <c:v>1052.319733328238</c:v>
                </c:pt>
                <c:pt idx="18">
                  <c:v>1151.6295814425014</c:v>
                </c:pt>
                <c:pt idx="19">
                  <c:v>1315.2390382386959</c:v>
                </c:pt>
                <c:pt idx="20">
                  <c:v>1524.1461350572574</c:v>
                </c:pt>
                <c:pt idx="21">
                  <c:v>1534.3273295190004</c:v>
                </c:pt>
                <c:pt idx="22">
                  <c:v>1511.650471300233</c:v>
                </c:pt>
                <c:pt idx="23">
                  <c:v>1561.808988028278</c:v>
                </c:pt>
                <c:pt idx="24">
                  <c:v>1561.9989176385161</c:v>
                </c:pt>
                <c:pt idx="25">
                  <c:v>1750.7905516361261</c:v>
                </c:pt>
                <c:pt idx="26">
                  <c:v>1629.7590520640272</c:v>
                </c:pt>
                <c:pt idx="27">
                  <c:v>1799.3473505517281</c:v>
                </c:pt>
                <c:pt idx="28">
                  <c:v>1828.6594504743946</c:v>
                </c:pt>
                <c:pt idx="29">
                  <c:v>1907.3709824099551</c:v>
                </c:pt>
                <c:pt idx="30">
                  <c:v>1765.7649422578199</c:v>
                </c:pt>
              </c:numCache>
            </c:numRef>
          </c:val>
          <c:smooth val="0"/>
          <c:extLst>
            <c:ext xmlns:c16="http://schemas.microsoft.com/office/drawing/2014/chart" uri="{C3380CC4-5D6E-409C-BE32-E72D297353CC}">
              <c16:uniqueId val="{00000008-7D58-405B-BBF8-8C09A7956866}"/>
            </c:ext>
          </c:extLst>
        </c:ser>
        <c:ser>
          <c:idx val="9"/>
          <c:order val="9"/>
          <c:tx>
            <c:v>Additional Emissions Source</c:v>
          </c:tx>
          <c:spPr>
            <a:ln w="12700"/>
          </c:spPr>
          <c:marker>
            <c:spPr>
              <a:ln w="12700"/>
            </c:spPr>
          </c:marker>
          <c:val>
            <c:numRef>
              <c:f>'Mobile Combustion'!$C$79:$AF$79</c:f>
              <c:numCache>
                <c:formatCode>_(* #,##0_);_(* \(#,##0\);_(* "-"??_);_(@_)</c:formatCode>
                <c:ptCount val="30"/>
              </c:numCache>
            </c:numRef>
          </c:val>
          <c:smooth val="0"/>
          <c:extLst>
            <c:ext xmlns:c16="http://schemas.microsoft.com/office/drawing/2014/chart" uri="{C3380CC4-5D6E-409C-BE32-E72D297353CC}">
              <c16:uniqueId val="{00000001-6E78-480A-AF47-5E45BA5CFE61}"/>
            </c:ext>
          </c:extLst>
        </c:ser>
        <c:dLbls>
          <c:showLegendKey val="0"/>
          <c:showVal val="0"/>
          <c:showCatName val="0"/>
          <c:showSerName val="0"/>
          <c:showPercent val="0"/>
          <c:showBubbleSize val="0"/>
        </c:dLbls>
        <c:marker val="1"/>
        <c:smooth val="0"/>
        <c:axId val="217310512"/>
        <c:axId val="217310904"/>
      </c:lineChart>
      <c:catAx>
        <c:axId val="2173105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50" b="0" i="0" u="none" strike="noStrike" baseline="0">
                <a:solidFill>
                  <a:srgbClr val="000000"/>
                </a:solidFill>
                <a:latin typeface="Comic Sans MS"/>
                <a:ea typeface="Comic Sans MS"/>
                <a:cs typeface="Comic Sans MS"/>
              </a:defRPr>
            </a:pPr>
            <a:endParaRPr lang="en-US"/>
          </a:p>
        </c:txPr>
        <c:crossAx val="217310904"/>
        <c:crosses val="autoZero"/>
        <c:auto val="1"/>
        <c:lblAlgn val="ctr"/>
        <c:lblOffset val="100"/>
        <c:tickLblSkip val="1"/>
        <c:tickMarkSkip val="1"/>
        <c:noMultiLvlLbl val="0"/>
      </c:catAx>
      <c:valAx>
        <c:axId val="217310904"/>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7.3891625615763543E-3"/>
              <c:y val="0.43124999999999997"/>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Comic Sans MS"/>
                <a:ea typeface="Comic Sans MS"/>
                <a:cs typeface="Comic Sans MS"/>
              </a:defRPr>
            </a:pPr>
            <a:endParaRPr lang="en-US"/>
          </a:p>
        </c:txPr>
        <c:crossAx val="217310512"/>
        <c:crosses val="autoZero"/>
        <c:crossBetween val="between"/>
      </c:valAx>
      <c:spPr>
        <a:solidFill>
          <a:srgbClr val="FFFFFF"/>
        </a:solidFill>
        <a:ln w="12700">
          <a:solidFill>
            <a:srgbClr val="FFFFFF"/>
          </a:solidFill>
          <a:prstDash val="solid"/>
        </a:ln>
      </c:spPr>
    </c:plotArea>
    <c:legend>
      <c:legendPos val="r"/>
      <c:layout>
        <c:manualLayout>
          <c:xMode val="edge"/>
          <c:yMode val="edge"/>
          <c:x val="0.84072316996610896"/>
          <c:y val="0.2256105397660311"/>
          <c:w val="0.15927685763417504"/>
          <c:h val="0.67129048988636897"/>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Combustion'!$BN$7</c:f>
          <c:strCache>
            <c:ptCount val="1"/>
            <c:pt idx="0">
              <c:v>Total Methane and Nitrous Oxide Emissions from Mobile Sources, by Mode/Vehicle Type, 1990-2020</c:v>
            </c:pt>
          </c:strCache>
        </c:strRef>
      </c:tx>
      <c:layout>
        <c:manualLayout>
          <c:xMode val="edge"/>
          <c:yMode val="edge"/>
          <c:x val="8.0981570574798004E-2"/>
          <c:y val="2.8391284010290792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3499790413176241"/>
          <c:y val="0.27444794952681389"/>
          <c:w val="0.71446110390992279"/>
          <c:h val="0.55205047318611988"/>
        </c:manualLayout>
      </c:layout>
      <c:lineChart>
        <c:grouping val="standard"/>
        <c:varyColors val="0"/>
        <c:ser>
          <c:idx val="6"/>
          <c:order val="0"/>
          <c:tx>
            <c:strRef>
              <c:f>'Mobile Combustion'!$B$58</c:f>
              <c:strCache>
                <c:ptCount val="1"/>
                <c:pt idx="0">
                  <c:v>Gasoline Highway</c:v>
                </c:pt>
              </c:strCache>
            </c:strRef>
          </c:tx>
          <c:spPr>
            <a:ln w="12700">
              <a:solidFill>
                <a:srgbClr val="008080"/>
              </a:solidFill>
              <a:prstDash val="solid"/>
            </a:ln>
          </c:spPr>
          <c:marker>
            <c:symbol val="plus"/>
            <c:size val="5"/>
            <c:spPr>
              <a:noFill/>
              <a:ln>
                <a:solidFill>
                  <a:srgbClr val="00808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[0]!ChartRange_CH4N20_Gasoile_Highway</c:f>
              <c:numCache>
                <c:formatCode>_(* #,##0_);_(* \(#,##0\);_(* "-"??_);_(@_)</c:formatCode>
                <c:ptCount val="31"/>
                <c:pt idx="0">
                  <c:v>1534782.044568134</c:v>
                </c:pt>
                <c:pt idx="1">
                  <c:v>1623833.9242196514</c:v>
                </c:pt>
                <c:pt idx="2">
                  <c:v>1701946.4215310237</c:v>
                </c:pt>
                <c:pt idx="3">
                  <c:v>1774724.6092374078</c:v>
                </c:pt>
                <c:pt idx="4">
                  <c:v>1833749.7670349069</c:v>
                </c:pt>
                <c:pt idx="5">
                  <c:v>1868919.6861299581</c:v>
                </c:pt>
                <c:pt idx="6">
                  <c:v>1906941.7500199405</c:v>
                </c:pt>
                <c:pt idx="7">
                  <c:v>1926522.6085499814</c:v>
                </c:pt>
                <c:pt idx="8">
                  <c:v>1923331.6658006995</c:v>
                </c:pt>
                <c:pt idx="9">
                  <c:v>1781912.1205182543</c:v>
                </c:pt>
                <c:pt idx="10">
                  <c:v>1694917.2299246984</c:v>
                </c:pt>
                <c:pt idx="11">
                  <c:v>1565684.5889347997</c:v>
                </c:pt>
                <c:pt idx="12">
                  <c:v>1490502.8262601276</c:v>
                </c:pt>
                <c:pt idx="13">
                  <c:v>1411685.5071643298</c:v>
                </c:pt>
                <c:pt idx="14">
                  <c:v>1303317.5709056712</c:v>
                </c:pt>
                <c:pt idx="15">
                  <c:v>1169408.0516546285</c:v>
                </c:pt>
                <c:pt idx="16">
                  <c:v>1042127.6787102777</c:v>
                </c:pt>
                <c:pt idx="17">
                  <c:v>959589.29705809057</c:v>
                </c:pt>
                <c:pt idx="18">
                  <c:v>875230.91195017833</c:v>
                </c:pt>
                <c:pt idx="19">
                  <c:v>763889.89028186735</c:v>
                </c:pt>
                <c:pt idx="20">
                  <c:v>716161.33095577697</c:v>
                </c:pt>
                <c:pt idx="21">
                  <c:v>659112.88748542091</c:v>
                </c:pt>
                <c:pt idx="22">
                  <c:v>580160.56239024305</c:v>
                </c:pt>
                <c:pt idx="23">
                  <c:v>510952.42693894723</c:v>
                </c:pt>
                <c:pt idx="24">
                  <c:v>439144.12418971671</c:v>
                </c:pt>
                <c:pt idx="25">
                  <c:v>377454.27214362519</c:v>
                </c:pt>
                <c:pt idx="26">
                  <c:v>342534.45748233894</c:v>
                </c:pt>
                <c:pt idx="27">
                  <c:v>291747.15532010014</c:v>
                </c:pt>
                <c:pt idx="28">
                  <c:v>242654.94395647166</c:v>
                </c:pt>
                <c:pt idx="29">
                  <c:v>261174.68536904085</c:v>
                </c:pt>
                <c:pt idx="30">
                  <c:v>185786.00894569184</c:v>
                </c:pt>
              </c:numCache>
            </c:numRef>
          </c:val>
          <c:smooth val="0"/>
          <c:extLst>
            <c:ext xmlns:c16="http://schemas.microsoft.com/office/drawing/2014/chart" uri="{C3380CC4-5D6E-409C-BE32-E72D297353CC}">
              <c16:uniqueId val="{00000000-EF3B-4EBF-A824-3D5DC03904C2}"/>
            </c:ext>
          </c:extLst>
        </c:ser>
        <c:ser>
          <c:idx val="7"/>
          <c:order val="1"/>
          <c:tx>
            <c:strRef>
              <c:f>'Mobile Combustion'!$B$63</c:f>
              <c:strCache>
                <c:ptCount val="1"/>
                <c:pt idx="0">
                  <c:v>Diesel Highway</c:v>
                </c:pt>
              </c:strCache>
            </c:strRef>
          </c:tx>
          <c:spPr>
            <a:ln w="12700">
              <a:solidFill>
                <a:srgbClr val="0000FF"/>
              </a:solidFill>
              <a:prstDash val="solid"/>
            </a:ln>
          </c:spPr>
          <c:marker>
            <c:symbol val="dot"/>
            <c:size val="5"/>
            <c:spPr>
              <a:noFill/>
              <a:ln>
                <a:solidFill>
                  <a:srgbClr val="0000FF"/>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[0]!ChartRange_CH4N20_Diesel_Highway</c:f>
              <c:numCache>
                <c:formatCode>_(* #,##0_);_(* \(#,##0\);_(* "-"??_);_(@_)</c:formatCode>
                <c:ptCount val="31"/>
                <c:pt idx="0">
                  <c:v>7117.6956110765541</c:v>
                </c:pt>
                <c:pt idx="1">
                  <c:v>7306.4555449413019</c:v>
                </c:pt>
                <c:pt idx="2">
                  <c:v>7674.344572351346</c:v>
                </c:pt>
                <c:pt idx="3">
                  <c:v>7837.4383475274881</c:v>
                </c:pt>
                <c:pt idx="4">
                  <c:v>8528.4067954944148</c:v>
                </c:pt>
                <c:pt idx="5">
                  <c:v>8989.963588322189</c:v>
                </c:pt>
                <c:pt idx="6">
                  <c:v>9259.878548751034</c:v>
                </c:pt>
                <c:pt idx="7">
                  <c:v>9761.8513185545689</c:v>
                </c:pt>
                <c:pt idx="8">
                  <c:v>10008.122307564734</c:v>
                </c:pt>
                <c:pt idx="9">
                  <c:v>10315.655816146425</c:v>
                </c:pt>
                <c:pt idx="10">
                  <c:v>10318.518397190868</c:v>
                </c:pt>
                <c:pt idx="11">
                  <c:v>10663.562429194124</c:v>
                </c:pt>
                <c:pt idx="12">
                  <c:v>10908.462306596324</c:v>
                </c:pt>
                <c:pt idx="13">
                  <c:v>10927.119498858308</c:v>
                </c:pt>
                <c:pt idx="14">
                  <c:v>11424.631847856675</c:v>
                </c:pt>
                <c:pt idx="15">
                  <c:v>11035.837174599375</c:v>
                </c:pt>
                <c:pt idx="16">
                  <c:v>11977.028996726478</c:v>
                </c:pt>
                <c:pt idx="17">
                  <c:v>23600.246408819985</c:v>
                </c:pt>
                <c:pt idx="18">
                  <c:v>30316.435184087382</c:v>
                </c:pt>
                <c:pt idx="19">
                  <c:v>41997.808470375763</c:v>
                </c:pt>
                <c:pt idx="20">
                  <c:v>46889.278264433386</c:v>
                </c:pt>
                <c:pt idx="21">
                  <c:v>49664.027503410995</c:v>
                </c:pt>
                <c:pt idx="22">
                  <c:v>59336.472541560033</c:v>
                </c:pt>
                <c:pt idx="23">
                  <c:v>68518.265606819477</c:v>
                </c:pt>
                <c:pt idx="24">
                  <c:v>77752.985274430903</c:v>
                </c:pt>
                <c:pt idx="25">
                  <c:v>83581.862483365738</c:v>
                </c:pt>
                <c:pt idx="26">
                  <c:v>82338.341153360976</c:v>
                </c:pt>
                <c:pt idx="27">
                  <c:v>88404.315073661463</c:v>
                </c:pt>
                <c:pt idx="28">
                  <c:v>97998.401972896565</c:v>
                </c:pt>
                <c:pt idx="29">
                  <c:v>99022.883890552534</c:v>
                </c:pt>
                <c:pt idx="30">
                  <c:v>90479.501848335713</c:v>
                </c:pt>
              </c:numCache>
            </c:numRef>
          </c:val>
          <c:smooth val="0"/>
          <c:extLst>
            <c:ext xmlns:c16="http://schemas.microsoft.com/office/drawing/2014/chart" uri="{C3380CC4-5D6E-409C-BE32-E72D297353CC}">
              <c16:uniqueId val="{00000001-EF3B-4EBF-A824-3D5DC03904C2}"/>
            </c:ext>
          </c:extLst>
        </c:ser>
        <c:ser>
          <c:idx val="0"/>
          <c:order val="2"/>
          <c:tx>
            <c:strRef>
              <c:f>'Mobile Combustion'!$B$69</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[0]!ChartRange_CH4N20_Boats</c:f>
              <c:numCache>
                <c:formatCode>_(* #,##0_);_(* \(#,##0\);_(* "-"??_);_(@_)</c:formatCode>
                <c:ptCount val="31"/>
                <c:pt idx="0">
                  <c:v>3132.3832725952298</c:v>
                </c:pt>
                <c:pt idx="1">
                  <c:v>3788.8212432940072</c:v>
                </c:pt>
                <c:pt idx="2">
                  <c:v>3159.1473296255026</c:v>
                </c:pt>
                <c:pt idx="3">
                  <c:v>2879.1527868537255</c:v>
                </c:pt>
                <c:pt idx="4">
                  <c:v>3040.5093974412744</c:v>
                </c:pt>
                <c:pt idx="5">
                  <c:v>3455.6126908836013</c:v>
                </c:pt>
                <c:pt idx="6">
                  <c:v>3164.0590593634493</c:v>
                </c:pt>
                <c:pt idx="7">
                  <c:v>3312.7898282852057</c:v>
                </c:pt>
                <c:pt idx="8">
                  <c:v>3188.7893312945821</c:v>
                </c:pt>
                <c:pt idx="9">
                  <c:v>3559.3477934365123</c:v>
                </c:pt>
                <c:pt idx="10">
                  <c:v>3905.5140047978171</c:v>
                </c:pt>
                <c:pt idx="11">
                  <c:v>4397.8509621193525</c:v>
                </c:pt>
                <c:pt idx="12">
                  <c:v>4054.8514499525272</c:v>
                </c:pt>
                <c:pt idx="13">
                  <c:v>4909.7175422329738</c:v>
                </c:pt>
                <c:pt idx="14">
                  <c:v>141.99457053354666</c:v>
                </c:pt>
                <c:pt idx="15">
                  <c:v>4303.4126940439373</c:v>
                </c:pt>
                <c:pt idx="16">
                  <c:v>4795.4150006758728</c:v>
                </c:pt>
                <c:pt idx="17">
                  <c:v>4360.8335321647346</c:v>
                </c:pt>
                <c:pt idx="18">
                  <c:v>4154.5046668690929</c:v>
                </c:pt>
                <c:pt idx="19">
                  <c:v>4062.9359323119274</c:v>
                </c:pt>
                <c:pt idx="20">
                  <c:v>4079.0661873210347</c:v>
                </c:pt>
                <c:pt idx="21">
                  <c:v>3794.495580638476</c:v>
                </c:pt>
                <c:pt idx="22">
                  <c:v>4040.6012421549999</c:v>
                </c:pt>
                <c:pt idx="23">
                  <c:v>4189.2213969921349</c:v>
                </c:pt>
                <c:pt idx="24">
                  <c:v>3319.9308991397816</c:v>
                </c:pt>
                <c:pt idx="25">
                  <c:v>5762.9760435865637</c:v>
                </c:pt>
                <c:pt idx="26">
                  <c:v>5757.4371362712827</c:v>
                </c:pt>
                <c:pt idx="27">
                  <c:v>5808.9080478332762</c:v>
                </c:pt>
                <c:pt idx="28">
                  <c:v>5746.7128145346005</c:v>
                </c:pt>
                <c:pt idx="29">
                  <c:v>5658.0302178265883</c:v>
                </c:pt>
                <c:pt idx="30">
                  <c:v>5887.2183244701764</c:v>
                </c:pt>
              </c:numCache>
            </c:numRef>
          </c:val>
          <c:smooth val="0"/>
          <c:extLst>
            <c:ext xmlns:c16="http://schemas.microsoft.com/office/drawing/2014/chart" uri="{C3380CC4-5D6E-409C-BE32-E72D297353CC}">
              <c16:uniqueId val="{00000002-EF3B-4EBF-A824-3D5DC03904C2}"/>
            </c:ext>
          </c:extLst>
        </c:ser>
        <c:ser>
          <c:idx val="1"/>
          <c:order val="3"/>
          <c:tx>
            <c:strRef>
              <c:f>'Mobile Combustion'!$B$70</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[0]!ChartRange_CH4N20_Locomotives</c:f>
              <c:numCache>
                <c:formatCode>_(* #,##0_);_(* \(#,##0\);_(* "-"??_);_(@_)</c:formatCode>
                <c:ptCount val="31"/>
                <c:pt idx="0">
                  <c:v>14712.134579999998</c:v>
                </c:pt>
                <c:pt idx="1">
                  <c:v>12014.829254999999</c:v>
                </c:pt>
                <c:pt idx="2">
                  <c:v>11533.437629999999</c:v>
                </c:pt>
                <c:pt idx="3">
                  <c:v>12256.180365000002</c:v>
                </c:pt>
                <c:pt idx="4">
                  <c:v>14011.470329999998</c:v>
                </c:pt>
                <c:pt idx="5">
                  <c:v>18440.978985000002</c:v>
                </c:pt>
                <c:pt idx="6">
                  <c:v>20243.450369999999</c:v>
                </c:pt>
                <c:pt idx="7">
                  <c:v>15085.150079999998</c:v>
                </c:pt>
                <c:pt idx="8">
                  <c:v>10518.331395000001</c:v>
                </c:pt>
                <c:pt idx="9">
                  <c:v>12436.235955</c:v>
                </c:pt>
                <c:pt idx="10">
                  <c:v>10732.96653</c:v>
                </c:pt>
                <c:pt idx="11">
                  <c:v>7502.2490400000006</c:v>
                </c:pt>
                <c:pt idx="12">
                  <c:v>10543.938405000001</c:v>
                </c:pt>
                <c:pt idx="13">
                  <c:v>20342.753144999999</c:v>
                </c:pt>
                <c:pt idx="14">
                  <c:v>6845.640945000001</c:v>
                </c:pt>
                <c:pt idx="15">
                  <c:v>6347.211585</c:v>
                </c:pt>
                <c:pt idx="16">
                  <c:v>4498.97019</c:v>
                </c:pt>
                <c:pt idx="17">
                  <c:v>4448.4618750000009</c:v>
                </c:pt>
                <c:pt idx="18">
                  <c:v>5489.8808250000002</c:v>
                </c:pt>
                <c:pt idx="19">
                  <c:v>6347.3123999999989</c:v>
                </c:pt>
                <c:pt idx="20">
                  <c:v>8975.3578199999993</c:v>
                </c:pt>
                <c:pt idx="21">
                  <c:v>6675.6668549999995</c:v>
                </c:pt>
                <c:pt idx="22">
                  <c:v>7545.7003049999994</c:v>
                </c:pt>
                <c:pt idx="23">
                  <c:v>8371.9800450000002</c:v>
                </c:pt>
                <c:pt idx="24">
                  <c:v>15318.335174999998</c:v>
                </c:pt>
                <c:pt idx="25">
                  <c:v>20927.278514999998</c:v>
                </c:pt>
                <c:pt idx="26">
                  <c:v>24401.968304999999</c:v>
                </c:pt>
                <c:pt idx="27">
                  <c:v>29735.283435000005</c:v>
                </c:pt>
                <c:pt idx="28">
                  <c:v>31676.980335000004</c:v>
                </c:pt>
                <c:pt idx="29">
                  <c:v>29342.709824999998</c:v>
                </c:pt>
                <c:pt idx="30">
                  <c:v>23528.204699999998</c:v>
                </c:pt>
              </c:numCache>
            </c:numRef>
          </c:val>
          <c:smooth val="0"/>
          <c:extLst>
            <c:ext xmlns:c16="http://schemas.microsoft.com/office/drawing/2014/chart" uri="{C3380CC4-5D6E-409C-BE32-E72D297353CC}">
              <c16:uniqueId val="{00000003-EF3B-4EBF-A824-3D5DC03904C2}"/>
            </c:ext>
          </c:extLst>
        </c:ser>
        <c:ser>
          <c:idx val="2"/>
          <c:order val="4"/>
          <c:tx>
            <c:strRef>
              <c:f>'Mobile Combustion'!$B$71</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[0]!ChartRange_CH4N20_Farm</c:f>
              <c:numCache>
                <c:formatCode>_(* #,##0_);_(* \(#,##0\);_(* "-"??_);_(@_)</c:formatCode>
                <c:ptCount val="31"/>
                <c:pt idx="0">
                  <c:v>77780.666706383112</c:v>
                </c:pt>
                <c:pt idx="1">
                  <c:v>69247.41067956535</c:v>
                </c:pt>
                <c:pt idx="2">
                  <c:v>76003.620084994662</c:v>
                </c:pt>
                <c:pt idx="3">
                  <c:v>70341.59259827793</c:v>
                </c:pt>
                <c:pt idx="4">
                  <c:v>69047.889077528263</c:v>
                </c:pt>
                <c:pt idx="5">
                  <c:v>83032.079133674517</c:v>
                </c:pt>
                <c:pt idx="6">
                  <c:v>77898.051920252503</c:v>
                </c:pt>
                <c:pt idx="7">
                  <c:v>78662.161819645436</c:v>
                </c:pt>
                <c:pt idx="8">
                  <c:v>78401.615958349197</c:v>
                </c:pt>
                <c:pt idx="9">
                  <c:v>56238.06879618462</c:v>
                </c:pt>
                <c:pt idx="10">
                  <c:v>62427.575611633481</c:v>
                </c:pt>
                <c:pt idx="11">
                  <c:v>57868.478611731305</c:v>
                </c:pt>
                <c:pt idx="12">
                  <c:v>57601.864175524148</c:v>
                </c:pt>
                <c:pt idx="13">
                  <c:v>61161.690242788507</c:v>
                </c:pt>
                <c:pt idx="14">
                  <c:v>62914.211372811544</c:v>
                </c:pt>
                <c:pt idx="15">
                  <c:v>63884.563616754735</c:v>
                </c:pt>
                <c:pt idx="16">
                  <c:v>80910.585168409874</c:v>
                </c:pt>
                <c:pt idx="17">
                  <c:v>70948.228809549662</c:v>
                </c:pt>
                <c:pt idx="18">
                  <c:v>78005.690806427097</c:v>
                </c:pt>
                <c:pt idx="19">
                  <c:v>49980.323870344626</c:v>
                </c:pt>
                <c:pt idx="20">
                  <c:v>56131.850250477983</c:v>
                </c:pt>
                <c:pt idx="21">
                  <c:v>59443.200590113665</c:v>
                </c:pt>
                <c:pt idx="22">
                  <c:v>60119.893722006484</c:v>
                </c:pt>
                <c:pt idx="23">
                  <c:v>64276.98059397599</c:v>
                </c:pt>
                <c:pt idx="24">
                  <c:v>68564.612412255767</c:v>
                </c:pt>
                <c:pt idx="25">
                  <c:v>62589.819425189817</c:v>
                </c:pt>
                <c:pt idx="26">
                  <c:v>62523.914107774108</c:v>
                </c:pt>
                <c:pt idx="27">
                  <c:v>61997.622369617748</c:v>
                </c:pt>
                <c:pt idx="28">
                  <c:v>64497.937810360825</c:v>
                </c:pt>
                <c:pt idx="29">
                  <c:v>57368.678841266687</c:v>
                </c:pt>
                <c:pt idx="30">
                  <c:v>64436.238953171931</c:v>
                </c:pt>
              </c:numCache>
            </c:numRef>
          </c:val>
          <c:smooth val="0"/>
          <c:extLst>
            <c:ext xmlns:c16="http://schemas.microsoft.com/office/drawing/2014/chart" uri="{C3380CC4-5D6E-409C-BE32-E72D297353CC}">
              <c16:uniqueId val="{00000004-EF3B-4EBF-A824-3D5DC03904C2}"/>
            </c:ext>
          </c:extLst>
        </c:ser>
        <c:ser>
          <c:idx val="3"/>
          <c:order val="5"/>
          <c:tx>
            <c:strRef>
              <c:f>'Mobile Combustion'!$B$72</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[0]!ChartRange_CH4N20_Construction_Equipment</c:f>
              <c:numCache>
                <c:formatCode>_(* #,##0_);_(* \(#,##0\);_(* "-"??_);_(@_)</c:formatCode>
                <c:ptCount val="31"/>
                <c:pt idx="0">
                  <c:v>62609.500319774488</c:v>
                </c:pt>
                <c:pt idx="1">
                  <c:v>56510.79225652937</c:v>
                </c:pt>
                <c:pt idx="2">
                  <c:v>58962.748991496366</c:v>
                </c:pt>
                <c:pt idx="3">
                  <c:v>64821.530950100503</c:v>
                </c:pt>
                <c:pt idx="4">
                  <c:v>64537.140100824967</c:v>
                </c:pt>
                <c:pt idx="5">
                  <c:v>52368.249337377099</c:v>
                </c:pt>
                <c:pt idx="6">
                  <c:v>56003.244203985123</c:v>
                </c:pt>
                <c:pt idx="7">
                  <c:v>54453.428302096705</c:v>
                </c:pt>
                <c:pt idx="8">
                  <c:v>51593.369376348601</c:v>
                </c:pt>
                <c:pt idx="9">
                  <c:v>54544.059596819985</c:v>
                </c:pt>
                <c:pt idx="10">
                  <c:v>52892.808529895672</c:v>
                </c:pt>
                <c:pt idx="11">
                  <c:v>60508.952273550116</c:v>
                </c:pt>
                <c:pt idx="12">
                  <c:v>73453.122855989117</c:v>
                </c:pt>
                <c:pt idx="13">
                  <c:v>87918.113052727247</c:v>
                </c:pt>
                <c:pt idx="14">
                  <c:v>77716.093667475609</c:v>
                </c:pt>
                <c:pt idx="15">
                  <c:v>95097.397193509009</c:v>
                </c:pt>
                <c:pt idx="16">
                  <c:v>108245.76506165777</c:v>
                </c:pt>
                <c:pt idx="17">
                  <c:v>81743.717596181057</c:v>
                </c:pt>
                <c:pt idx="18">
                  <c:v>72851.137095365499</c:v>
                </c:pt>
                <c:pt idx="19">
                  <c:v>69094.966341368767</c:v>
                </c:pt>
                <c:pt idx="20">
                  <c:v>71171.779427032016</c:v>
                </c:pt>
                <c:pt idx="21">
                  <c:v>80333.1660791584</c:v>
                </c:pt>
                <c:pt idx="22">
                  <c:v>71342.25173658914</c:v>
                </c:pt>
                <c:pt idx="23">
                  <c:v>81325.625904212633</c:v>
                </c:pt>
                <c:pt idx="24">
                  <c:v>72564.360952710427</c:v>
                </c:pt>
                <c:pt idx="25">
                  <c:v>41662.525687666275</c:v>
                </c:pt>
                <c:pt idx="26">
                  <c:v>42977.884134385306</c:v>
                </c:pt>
                <c:pt idx="27">
                  <c:v>46540.86496675908</c:v>
                </c:pt>
                <c:pt idx="28">
                  <c:v>48047.279991329226</c:v>
                </c:pt>
                <c:pt idx="29">
                  <c:v>49292.735039365194</c:v>
                </c:pt>
                <c:pt idx="30">
                  <c:v>45533.452718122178</c:v>
                </c:pt>
              </c:numCache>
            </c:numRef>
          </c:val>
          <c:smooth val="0"/>
          <c:extLst>
            <c:ext xmlns:c16="http://schemas.microsoft.com/office/drawing/2014/chart" uri="{C3380CC4-5D6E-409C-BE32-E72D297353CC}">
              <c16:uniqueId val="{00000005-EF3B-4EBF-A824-3D5DC03904C2}"/>
            </c:ext>
          </c:extLst>
        </c:ser>
        <c:ser>
          <c:idx val="4"/>
          <c:order val="6"/>
          <c:tx>
            <c:strRef>
              <c:f>'Mobile Combustion'!$B$73</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[0]!ChartRange_CH4N20_Aircraft</c:f>
              <c:numCache>
                <c:formatCode>_(* #,##0_);_(* \(#,##0\);_(* "-"??_);_(@_)</c:formatCode>
                <c:ptCount val="31"/>
                <c:pt idx="0">
                  <c:v>15976.527734171521</c:v>
                </c:pt>
                <c:pt idx="1">
                  <c:v>25160.840473879682</c:v>
                </c:pt>
                <c:pt idx="2">
                  <c:v>28669.501196279682</c:v>
                </c:pt>
                <c:pt idx="3">
                  <c:v>35652.914773422082</c:v>
                </c:pt>
                <c:pt idx="4">
                  <c:v>37035.86913535872</c:v>
                </c:pt>
                <c:pt idx="5">
                  <c:v>39845.448234051211</c:v>
                </c:pt>
                <c:pt idx="6">
                  <c:v>45982.806209647359</c:v>
                </c:pt>
                <c:pt idx="7">
                  <c:v>47489.501580248943</c:v>
                </c:pt>
                <c:pt idx="8">
                  <c:v>49629.635489674249</c:v>
                </c:pt>
                <c:pt idx="9">
                  <c:v>68207.268673896964</c:v>
                </c:pt>
                <c:pt idx="10">
                  <c:v>84305.91141732609</c:v>
                </c:pt>
                <c:pt idx="11">
                  <c:v>69176.659960851845</c:v>
                </c:pt>
                <c:pt idx="12">
                  <c:v>51318.188956860809</c:v>
                </c:pt>
                <c:pt idx="13">
                  <c:v>50305.644538940149</c:v>
                </c:pt>
                <c:pt idx="14">
                  <c:v>80303.044301055343</c:v>
                </c:pt>
                <c:pt idx="15">
                  <c:v>145142.87278684095</c:v>
                </c:pt>
                <c:pt idx="16">
                  <c:v>105066.24565006142</c:v>
                </c:pt>
                <c:pt idx="17">
                  <c:v>108650.24025650304</c:v>
                </c:pt>
                <c:pt idx="18">
                  <c:v>102997.46679285119</c:v>
                </c:pt>
                <c:pt idx="19">
                  <c:v>91680.422254860809</c:v>
                </c:pt>
                <c:pt idx="20">
                  <c:v>103662.46650376641</c:v>
                </c:pt>
                <c:pt idx="21">
                  <c:v>103279.28408640319</c:v>
                </c:pt>
                <c:pt idx="22">
                  <c:v>98019.137188622059</c:v>
                </c:pt>
                <c:pt idx="23">
                  <c:v>100117.93590611713</c:v>
                </c:pt>
                <c:pt idx="24">
                  <c:v>103757.39626117761</c:v>
                </c:pt>
                <c:pt idx="25">
                  <c:v>111502.11652841985</c:v>
                </c:pt>
                <c:pt idx="26">
                  <c:v>113863.37405815873</c:v>
                </c:pt>
                <c:pt idx="27">
                  <c:v>114578.51724488576</c:v>
                </c:pt>
                <c:pt idx="28">
                  <c:v>112805.27822441983</c:v>
                </c:pt>
                <c:pt idx="29">
                  <c:v>114815.19967012417</c:v>
                </c:pt>
                <c:pt idx="30">
                  <c:v>67740.946550374414</c:v>
                </c:pt>
              </c:numCache>
            </c:numRef>
          </c:val>
          <c:smooth val="0"/>
          <c:extLst>
            <c:ext xmlns:c16="http://schemas.microsoft.com/office/drawing/2014/chart" uri="{C3380CC4-5D6E-409C-BE32-E72D297353CC}">
              <c16:uniqueId val="{00000006-EF3B-4EBF-A824-3D5DC03904C2}"/>
            </c:ext>
          </c:extLst>
        </c:ser>
        <c:ser>
          <c:idx val="5"/>
          <c:order val="7"/>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[0]!ChartRange_CH4N20_Other</c:f>
              <c:numCache>
                <c:formatCode>_(* #,##0_);_(* \(#,##0\);_(* "-"??_);_(@_)</c:formatCode>
                <c:ptCount val="31"/>
                <c:pt idx="0">
                  <c:v>30435.302728857085</c:v>
                </c:pt>
                <c:pt idx="1">
                  <c:v>30588.591486079713</c:v>
                </c:pt>
                <c:pt idx="2">
                  <c:v>31608.44418170234</c:v>
                </c:pt>
                <c:pt idx="3">
                  <c:v>105188.73545456403</c:v>
                </c:pt>
                <c:pt idx="4">
                  <c:v>65728.031582693511</c:v>
                </c:pt>
                <c:pt idx="5">
                  <c:v>65128.947136633389</c:v>
                </c:pt>
                <c:pt idx="6">
                  <c:v>65384.24808798814</c:v>
                </c:pt>
                <c:pt idx="7">
                  <c:v>67739.842848481552</c:v>
                </c:pt>
                <c:pt idx="8">
                  <c:v>91174.390661458994</c:v>
                </c:pt>
                <c:pt idx="9">
                  <c:v>100801.97456794164</c:v>
                </c:pt>
                <c:pt idx="10">
                  <c:v>106920.6583735626</c:v>
                </c:pt>
                <c:pt idx="11">
                  <c:v>106640.89386181759</c:v>
                </c:pt>
                <c:pt idx="12">
                  <c:v>109168.86477724643</c:v>
                </c:pt>
                <c:pt idx="13">
                  <c:v>114006.83578522291</c:v>
                </c:pt>
                <c:pt idx="14">
                  <c:v>119693.37614192365</c:v>
                </c:pt>
                <c:pt idx="15">
                  <c:v>121323.38903104531</c:v>
                </c:pt>
                <c:pt idx="16">
                  <c:v>137709.70115514583</c:v>
                </c:pt>
                <c:pt idx="17">
                  <c:v>43013.314401758907</c:v>
                </c:pt>
                <c:pt idx="18">
                  <c:v>44437.490767981748</c:v>
                </c:pt>
                <c:pt idx="19">
                  <c:v>44224.677853503665</c:v>
                </c:pt>
                <c:pt idx="20">
                  <c:v>140847.74668268292</c:v>
                </c:pt>
                <c:pt idx="21">
                  <c:v>126521.95143239333</c:v>
                </c:pt>
                <c:pt idx="22">
                  <c:v>152170.25138989254</c:v>
                </c:pt>
                <c:pt idx="23">
                  <c:v>127494.1475665663</c:v>
                </c:pt>
                <c:pt idx="24">
                  <c:v>130352.71199924816</c:v>
                </c:pt>
                <c:pt idx="25">
                  <c:v>118714.41215272792</c:v>
                </c:pt>
                <c:pt idx="26">
                  <c:v>119322.62839595067</c:v>
                </c:pt>
                <c:pt idx="27">
                  <c:v>120874.88430053803</c:v>
                </c:pt>
                <c:pt idx="28">
                  <c:v>122181.73689091647</c:v>
                </c:pt>
                <c:pt idx="29">
                  <c:v>123667.70719536989</c:v>
                </c:pt>
                <c:pt idx="30">
                  <c:v>116922.59505069675</c:v>
                </c:pt>
              </c:numCache>
            </c:numRef>
          </c:val>
          <c:smooth val="0"/>
          <c:extLst>
            <c:ext xmlns:c16="http://schemas.microsoft.com/office/drawing/2014/chart" uri="{C3380CC4-5D6E-409C-BE32-E72D297353CC}">
              <c16:uniqueId val="{00000007-EF3B-4EBF-A824-3D5DC03904C2}"/>
            </c:ext>
          </c:extLst>
        </c:ser>
        <c:ser>
          <c:idx val="8"/>
          <c:order val="8"/>
          <c:tx>
            <c:strRef>
              <c:f>'Mobile Combustion'!$B$22</c:f>
              <c:strCache>
                <c:ptCount val="1"/>
                <c:pt idx="0">
                  <c:v>Alternative Fuel Vehicles</c:v>
                </c:pt>
              </c:strCache>
            </c:strRef>
          </c:tx>
          <c:spPr>
            <a:ln w="12700">
              <a:solidFill>
                <a:srgbClr val="FF9900"/>
              </a:solidFill>
              <a:prstDash val="solid"/>
            </a:ln>
          </c:spPr>
          <c:marker>
            <c:symbol val="dash"/>
            <c:size val="5"/>
            <c:spPr>
              <a:noFill/>
              <a:ln>
                <a:solidFill>
                  <a:srgbClr val="FF99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[0]!ChartRange_CH4N20_Alternative_Fuel_Vehicles</c:f>
              <c:numCache>
                <c:formatCode>_(* #,##0_);_(* \(#,##0\);_(* "-"??_);_(@_)</c:formatCode>
                <c:ptCount val="31"/>
                <c:pt idx="0">
                  <c:v>22.136858715048604</c:v>
                </c:pt>
                <c:pt idx="1">
                  <c:v>23.742880144236949</c:v>
                </c:pt>
                <c:pt idx="2">
                  <c:v>22.955449617467384</c:v>
                </c:pt>
                <c:pt idx="3">
                  <c:v>29.566834597798149</c:v>
                </c:pt>
                <c:pt idx="4">
                  <c:v>29.158541809145255</c:v>
                </c:pt>
                <c:pt idx="5">
                  <c:v>29.905402863960486</c:v>
                </c:pt>
                <c:pt idx="6">
                  <c:v>38.412583419818553</c:v>
                </c:pt>
                <c:pt idx="7">
                  <c:v>56.383762883131268</c:v>
                </c:pt>
                <c:pt idx="8">
                  <c:v>92.129891877891239</c:v>
                </c:pt>
                <c:pt idx="9">
                  <c:v>156.35634204858647</c:v>
                </c:pt>
                <c:pt idx="10">
                  <c:v>262.6683289756312</c:v>
                </c:pt>
                <c:pt idx="11">
                  <c:v>416.09842850594163</c:v>
                </c:pt>
                <c:pt idx="12">
                  <c:v>601.51202675328545</c:v>
                </c:pt>
                <c:pt idx="13">
                  <c:v>715.88459554446956</c:v>
                </c:pt>
                <c:pt idx="14">
                  <c:v>804.31711769145602</c:v>
                </c:pt>
                <c:pt idx="15">
                  <c:v>898.32055549750555</c:v>
                </c:pt>
                <c:pt idx="16">
                  <c:v>1005.7204787082833</c:v>
                </c:pt>
                <c:pt idx="17">
                  <c:v>1069.259335268446</c:v>
                </c:pt>
                <c:pt idx="18">
                  <c:v>1167.3445118506606</c:v>
                </c:pt>
                <c:pt idx="19">
                  <c:v>1332.3905337982528</c:v>
                </c:pt>
                <c:pt idx="20">
                  <c:v>1544.3728331612144</c:v>
                </c:pt>
                <c:pt idx="21">
                  <c:v>1555.7322726101788</c:v>
                </c:pt>
                <c:pt idx="22">
                  <c:v>1534.9042328943794</c:v>
                </c:pt>
                <c:pt idx="23">
                  <c:v>1588.1000781124312</c:v>
                </c:pt>
                <c:pt idx="24">
                  <c:v>1589.2310519994053</c:v>
                </c:pt>
                <c:pt idx="25">
                  <c:v>1779.4080438496969</c:v>
                </c:pt>
                <c:pt idx="26">
                  <c:v>1660.3317895914511</c:v>
                </c:pt>
                <c:pt idx="27">
                  <c:v>1830.1521071385805</c:v>
                </c:pt>
                <c:pt idx="28">
                  <c:v>1857.9173515019845</c:v>
                </c:pt>
                <c:pt idx="29">
                  <c:v>1940.0091061271967</c:v>
                </c:pt>
                <c:pt idx="30">
                  <c:v>1795.0182857866682</c:v>
                </c:pt>
              </c:numCache>
            </c:numRef>
          </c:val>
          <c:smooth val="0"/>
          <c:extLst>
            <c:ext xmlns:c16="http://schemas.microsoft.com/office/drawing/2014/chart" uri="{C3380CC4-5D6E-409C-BE32-E72D297353CC}">
              <c16:uniqueId val="{00000008-EF3B-4EBF-A824-3D5DC03904C2}"/>
            </c:ext>
          </c:extLst>
        </c:ser>
        <c:ser>
          <c:idx val="9"/>
          <c:order val="9"/>
          <c:tx>
            <c:v>Additional Emissions Source</c:v>
          </c:tx>
          <c:spPr>
            <a:ln w="12700"/>
          </c:spPr>
          <c:marker>
            <c:spPr>
              <a:ln w="12700"/>
            </c:spPr>
          </c:marker>
          <c:val>
            <c:numRef>
              <c:f>'Mobile Combustion'!$C$26:$AF$26</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06E-45E9-8305-F6C59118A294}"/>
            </c:ext>
          </c:extLst>
        </c:ser>
        <c:dLbls>
          <c:showLegendKey val="0"/>
          <c:showVal val="0"/>
          <c:showCatName val="0"/>
          <c:showSerName val="0"/>
          <c:showPercent val="0"/>
          <c:showBubbleSize val="0"/>
        </c:dLbls>
        <c:marker val="1"/>
        <c:smooth val="0"/>
        <c:axId val="217311688"/>
        <c:axId val="217312080"/>
      </c:lineChart>
      <c:catAx>
        <c:axId val="217311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7312080"/>
        <c:crosses val="autoZero"/>
        <c:auto val="1"/>
        <c:lblAlgn val="ctr"/>
        <c:lblOffset val="100"/>
        <c:tickLblSkip val="1"/>
        <c:tickMarkSkip val="1"/>
        <c:noMultiLvlLbl val="0"/>
      </c:catAx>
      <c:valAx>
        <c:axId val="217312080"/>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1.5950940808233942E-2"/>
              <c:y val="0.46372235648761728"/>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7311688"/>
        <c:crosses val="autoZero"/>
        <c:crossBetween val="between"/>
      </c:valAx>
      <c:spPr>
        <a:solidFill>
          <a:srgbClr val="FFFFFF"/>
        </a:solidFill>
        <a:ln w="12700">
          <a:solidFill>
            <a:srgbClr val="FFFFFF"/>
          </a:solidFill>
          <a:prstDash val="solid"/>
        </a:ln>
      </c:spPr>
    </c:plotArea>
    <c:legend>
      <c:legendPos val="r"/>
      <c:layout>
        <c:manualLayout>
          <c:xMode val="edge"/>
          <c:yMode val="edge"/>
          <c:x val="0.85176201254941408"/>
          <c:y val="0.12980025533062145"/>
          <c:w val="0.14823798745058589"/>
          <c:h val="0.77002323350064605"/>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Combustion'!$BN$8</c:f>
          <c:strCache>
            <c:ptCount val="1"/>
            <c:pt idx="0">
              <c:v>Total Methane and Nitrous Oxide Emissions from Non-Highway Mobile Sources, 1990-2020</c:v>
            </c:pt>
          </c:strCache>
        </c:strRef>
      </c:tx>
      <c:layout>
        <c:manualLayout>
          <c:xMode val="edge"/>
          <c:yMode val="edge"/>
          <c:x val="0.1411043474673721"/>
          <c:y val="3.514363336161927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0.10349655310285232"/>
          <c:y val="0.21405784191830871"/>
          <c:w val="0.73944823850335661"/>
          <c:h val="0.61022459412532781"/>
        </c:manualLayout>
      </c:layout>
      <c:lineChart>
        <c:grouping val="standard"/>
        <c:varyColors val="0"/>
        <c:ser>
          <c:idx val="0"/>
          <c:order val="0"/>
          <c:tx>
            <c:strRef>
              <c:f>'Mobile Combustion'!$B$16</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[0]!ChartRange_CH4N20_Boats</c:f>
              <c:numCache>
                <c:formatCode>_(* #,##0_);_(* \(#,##0\);_(* "-"??_);_(@_)</c:formatCode>
                <c:ptCount val="31"/>
                <c:pt idx="0">
                  <c:v>3132.3832725952298</c:v>
                </c:pt>
                <c:pt idx="1">
                  <c:v>3788.8212432940072</c:v>
                </c:pt>
                <c:pt idx="2">
                  <c:v>3159.1473296255026</c:v>
                </c:pt>
                <c:pt idx="3">
                  <c:v>2879.1527868537255</c:v>
                </c:pt>
                <c:pt idx="4">
                  <c:v>3040.5093974412744</c:v>
                </c:pt>
                <c:pt idx="5">
                  <c:v>3455.6126908836013</c:v>
                </c:pt>
                <c:pt idx="6">
                  <c:v>3164.0590593634493</c:v>
                </c:pt>
                <c:pt idx="7">
                  <c:v>3312.7898282852057</c:v>
                </c:pt>
                <c:pt idx="8">
                  <c:v>3188.7893312945821</c:v>
                </c:pt>
                <c:pt idx="9">
                  <c:v>3559.3477934365123</c:v>
                </c:pt>
                <c:pt idx="10">
                  <c:v>3905.5140047978171</c:v>
                </c:pt>
                <c:pt idx="11">
                  <c:v>4397.8509621193525</c:v>
                </c:pt>
                <c:pt idx="12">
                  <c:v>4054.8514499525272</c:v>
                </c:pt>
                <c:pt idx="13">
                  <c:v>4909.7175422329738</c:v>
                </c:pt>
                <c:pt idx="14">
                  <c:v>141.99457053354666</c:v>
                </c:pt>
                <c:pt idx="15">
                  <c:v>4303.4126940439373</c:v>
                </c:pt>
                <c:pt idx="16">
                  <c:v>4795.4150006758728</c:v>
                </c:pt>
                <c:pt idx="17">
                  <c:v>4360.8335321647346</c:v>
                </c:pt>
                <c:pt idx="18">
                  <c:v>4154.5046668690929</c:v>
                </c:pt>
                <c:pt idx="19">
                  <c:v>4062.9359323119274</c:v>
                </c:pt>
                <c:pt idx="20">
                  <c:v>4079.0661873210347</c:v>
                </c:pt>
                <c:pt idx="21">
                  <c:v>3794.495580638476</c:v>
                </c:pt>
                <c:pt idx="22">
                  <c:v>4040.6012421549999</c:v>
                </c:pt>
                <c:pt idx="23">
                  <c:v>4189.2213969921349</c:v>
                </c:pt>
                <c:pt idx="24">
                  <c:v>3319.9308991397816</c:v>
                </c:pt>
                <c:pt idx="25">
                  <c:v>5762.9760435865637</c:v>
                </c:pt>
                <c:pt idx="26">
                  <c:v>5757.4371362712827</c:v>
                </c:pt>
                <c:pt idx="27">
                  <c:v>5808.9080478332762</c:v>
                </c:pt>
                <c:pt idx="28">
                  <c:v>5746.7128145346005</c:v>
                </c:pt>
                <c:pt idx="29">
                  <c:v>5658.0302178265883</c:v>
                </c:pt>
                <c:pt idx="30">
                  <c:v>5887.2183244701764</c:v>
                </c:pt>
              </c:numCache>
            </c:numRef>
          </c:val>
          <c:smooth val="0"/>
          <c:extLst>
            <c:ext xmlns:c16="http://schemas.microsoft.com/office/drawing/2014/chart" uri="{C3380CC4-5D6E-409C-BE32-E72D297353CC}">
              <c16:uniqueId val="{00000000-01FD-4E5F-8ECF-458AF0873DBD}"/>
            </c:ext>
          </c:extLst>
        </c:ser>
        <c:ser>
          <c:idx val="1"/>
          <c:order val="1"/>
          <c:tx>
            <c:strRef>
              <c:f>'Mobile Combustion'!$B$17</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[0]!ChartRange_CH4N20_Locomotives</c:f>
              <c:numCache>
                <c:formatCode>_(* #,##0_);_(* \(#,##0\);_(* "-"??_);_(@_)</c:formatCode>
                <c:ptCount val="31"/>
                <c:pt idx="0">
                  <c:v>14712.134579999998</c:v>
                </c:pt>
                <c:pt idx="1">
                  <c:v>12014.829254999999</c:v>
                </c:pt>
                <c:pt idx="2">
                  <c:v>11533.437629999999</c:v>
                </c:pt>
                <c:pt idx="3">
                  <c:v>12256.180365000002</c:v>
                </c:pt>
                <c:pt idx="4">
                  <c:v>14011.470329999998</c:v>
                </c:pt>
                <c:pt idx="5">
                  <c:v>18440.978985000002</c:v>
                </c:pt>
                <c:pt idx="6">
                  <c:v>20243.450369999999</c:v>
                </c:pt>
                <c:pt idx="7">
                  <c:v>15085.150079999998</c:v>
                </c:pt>
                <c:pt idx="8">
                  <c:v>10518.331395000001</c:v>
                </c:pt>
                <c:pt idx="9">
                  <c:v>12436.235955</c:v>
                </c:pt>
                <c:pt idx="10">
                  <c:v>10732.96653</c:v>
                </c:pt>
                <c:pt idx="11">
                  <c:v>7502.2490400000006</c:v>
                </c:pt>
                <c:pt idx="12">
                  <c:v>10543.938405000001</c:v>
                </c:pt>
                <c:pt idx="13">
                  <c:v>20342.753144999999</c:v>
                </c:pt>
                <c:pt idx="14">
                  <c:v>6845.640945000001</c:v>
                </c:pt>
                <c:pt idx="15">
                  <c:v>6347.211585</c:v>
                </c:pt>
                <c:pt idx="16">
                  <c:v>4498.97019</c:v>
                </c:pt>
                <c:pt idx="17">
                  <c:v>4448.4618750000009</c:v>
                </c:pt>
                <c:pt idx="18">
                  <c:v>5489.8808250000002</c:v>
                </c:pt>
                <c:pt idx="19">
                  <c:v>6347.3123999999989</c:v>
                </c:pt>
                <c:pt idx="20">
                  <c:v>8975.3578199999993</c:v>
                </c:pt>
                <c:pt idx="21">
                  <c:v>6675.6668549999995</c:v>
                </c:pt>
                <c:pt idx="22">
                  <c:v>7545.7003049999994</c:v>
                </c:pt>
                <c:pt idx="23">
                  <c:v>8371.9800450000002</c:v>
                </c:pt>
                <c:pt idx="24">
                  <c:v>15318.335174999998</c:v>
                </c:pt>
                <c:pt idx="25">
                  <c:v>20927.278514999998</c:v>
                </c:pt>
                <c:pt idx="26">
                  <c:v>24401.968304999999</c:v>
                </c:pt>
                <c:pt idx="27">
                  <c:v>29735.283435000005</c:v>
                </c:pt>
                <c:pt idx="28">
                  <c:v>31676.980335000004</c:v>
                </c:pt>
                <c:pt idx="29">
                  <c:v>29342.709824999998</c:v>
                </c:pt>
                <c:pt idx="30">
                  <c:v>23528.204699999998</c:v>
                </c:pt>
              </c:numCache>
            </c:numRef>
          </c:val>
          <c:smooth val="0"/>
          <c:extLst>
            <c:ext xmlns:c16="http://schemas.microsoft.com/office/drawing/2014/chart" uri="{C3380CC4-5D6E-409C-BE32-E72D297353CC}">
              <c16:uniqueId val="{00000001-01FD-4E5F-8ECF-458AF0873DBD}"/>
            </c:ext>
          </c:extLst>
        </c:ser>
        <c:ser>
          <c:idx val="2"/>
          <c:order val="2"/>
          <c:tx>
            <c:strRef>
              <c:f>'Mobile Combustion'!$B$18</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[0]!ChartRange_CH4N20_Farm</c:f>
              <c:numCache>
                <c:formatCode>_(* #,##0_);_(* \(#,##0\);_(* "-"??_);_(@_)</c:formatCode>
                <c:ptCount val="31"/>
                <c:pt idx="0">
                  <c:v>77780.666706383112</c:v>
                </c:pt>
                <c:pt idx="1">
                  <c:v>69247.41067956535</c:v>
                </c:pt>
                <c:pt idx="2">
                  <c:v>76003.620084994662</c:v>
                </c:pt>
                <c:pt idx="3">
                  <c:v>70341.59259827793</c:v>
                </c:pt>
                <c:pt idx="4">
                  <c:v>69047.889077528263</c:v>
                </c:pt>
                <c:pt idx="5">
                  <c:v>83032.079133674517</c:v>
                </c:pt>
                <c:pt idx="6">
                  <c:v>77898.051920252503</c:v>
                </c:pt>
                <c:pt idx="7">
                  <c:v>78662.161819645436</c:v>
                </c:pt>
                <c:pt idx="8">
                  <c:v>78401.615958349197</c:v>
                </c:pt>
                <c:pt idx="9">
                  <c:v>56238.06879618462</c:v>
                </c:pt>
                <c:pt idx="10">
                  <c:v>62427.575611633481</c:v>
                </c:pt>
                <c:pt idx="11">
                  <c:v>57868.478611731305</c:v>
                </c:pt>
                <c:pt idx="12">
                  <c:v>57601.864175524148</c:v>
                </c:pt>
                <c:pt idx="13">
                  <c:v>61161.690242788507</c:v>
                </c:pt>
                <c:pt idx="14">
                  <c:v>62914.211372811544</c:v>
                </c:pt>
                <c:pt idx="15">
                  <c:v>63884.563616754735</c:v>
                </c:pt>
                <c:pt idx="16">
                  <c:v>80910.585168409874</c:v>
                </c:pt>
                <c:pt idx="17">
                  <c:v>70948.228809549662</c:v>
                </c:pt>
                <c:pt idx="18">
                  <c:v>78005.690806427097</c:v>
                </c:pt>
                <c:pt idx="19">
                  <c:v>49980.323870344626</c:v>
                </c:pt>
                <c:pt idx="20">
                  <c:v>56131.850250477983</c:v>
                </c:pt>
                <c:pt idx="21">
                  <c:v>59443.200590113665</c:v>
                </c:pt>
                <c:pt idx="22">
                  <c:v>60119.893722006484</c:v>
                </c:pt>
                <c:pt idx="23">
                  <c:v>64276.98059397599</c:v>
                </c:pt>
                <c:pt idx="24">
                  <c:v>68564.612412255767</c:v>
                </c:pt>
                <c:pt idx="25">
                  <c:v>62589.819425189817</c:v>
                </c:pt>
                <c:pt idx="26">
                  <c:v>62523.914107774108</c:v>
                </c:pt>
                <c:pt idx="27">
                  <c:v>61997.622369617748</c:v>
                </c:pt>
                <c:pt idx="28">
                  <c:v>64497.937810360825</c:v>
                </c:pt>
                <c:pt idx="29">
                  <c:v>57368.678841266687</c:v>
                </c:pt>
                <c:pt idx="30">
                  <c:v>64436.238953171931</c:v>
                </c:pt>
              </c:numCache>
            </c:numRef>
          </c:val>
          <c:smooth val="0"/>
          <c:extLst>
            <c:ext xmlns:c16="http://schemas.microsoft.com/office/drawing/2014/chart" uri="{C3380CC4-5D6E-409C-BE32-E72D297353CC}">
              <c16:uniqueId val="{00000002-01FD-4E5F-8ECF-458AF0873DBD}"/>
            </c:ext>
          </c:extLst>
        </c:ser>
        <c:ser>
          <c:idx val="3"/>
          <c:order val="3"/>
          <c:tx>
            <c:strRef>
              <c:f>'Mobile Combustion'!$B$19</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[0]!ChartRange_CH4N20_Construction_Equipment</c:f>
              <c:numCache>
                <c:formatCode>_(* #,##0_);_(* \(#,##0\);_(* "-"??_);_(@_)</c:formatCode>
                <c:ptCount val="31"/>
                <c:pt idx="0">
                  <c:v>62609.500319774488</c:v>
                </c:pt>
                <c:pt idx="1">
                  <c:v>56510.79225652937</c:v>
                </c:pt>
                <c:pt idx="2">
                  <c:v>58962.748991496366</c:v>
                </c:pt>
                <c:pt idx="3">
                  <c:v>64821.530950100503</c:v>
                </c:pt>
                <c:pt idx="4">
                  <c:v>64537.140100824967</c:v>
                </c:pt>
                <c:pt idx="5">
                  <c:v>52368.249337377099</c:v>
                </c:pt>
                <c:pt idx="6">
                  <c:v>56003.244203985123</c:v>
                </c:pt>
                <c:pt idx="7">
                  <c:v>54453.428302096705</c:v>
                </c:pt>
                <c:pt idx="8">
                  <c:v>51593.369376348601</c:v>
                </c:pt>
                <c:pt idx="9">
                  <c:v>54544.059596819985</c:v>
                </c:pt>
                <c:pt idx="10">
                  <c:v>52892.808529895672</c:v>
                </c:pt>
                <c:pt idx="11">
                  <c:v>60508.952273550116</c:v>
                </c:pt>
                <c:pt idx="12">
                  <c:v>73453.122855989117</c:v>
                </c:pt>
                <c:pt idx="13">
                  <c:v>87918.113052727247</c:v>
                </c:pt>
                <c:pt idx="14">
                  <c:v>77716.093667475609</c:v>
                </c:pt>
                <c:pt idx="15">
                  <c:v>95097.397193509009</c:v>
                </c:pt>
                <c:pt idx="16">
                  <c:v>108245.76506165777</c:v>
                </c:pt>
                <c:pt idx="17">
                  <c:v>81743.717596181057</c:v>
                </c:pt>
                <c:pt idx="18">
                  <c:v>72851.137095365499</c:v>
                </c:pt>
                <c:pt idx="19">
                  <c:v>69094.966341368767</c:v>
                </c:pt>
                <c:pt idx="20">
                  <c:v>71171.779427032016</c:v>
                </c:pt>
                <c:pt idx="21">
                  <c:v>80333.1660791584</c:v>
                </c:pt>
                <c:pt idx="22">
                  <c:v>71342.25173658914</c:v>
                </c:pt>
                <c:pt idx="23">
                  <c:v>81325.625904212633</c:v>
                </c:pt>
                <c:pt idx="24">
                  <c:v>72564.360952710427</c:v>
                </c:pt>
                <c:pt idx="25">
                  <c:v>41662.525687666275</c:v>
                </c:pt>
                <c:pt idx="26">
                  <c:v>42977.884134385306</c:v>
                </c:pt>
                <c:pt idx="27">
                  <c:v>46540.86496675908</c:v>
                </c:pt>
                <c:pt idx="28">
                  <c:v>48047.279991329226</c:v>
                </c:pt>
                <c:pt idx="29">
                  <c:v>49292.735039365194</c:v>
                </c:pt>
                <c:pt idx="30">
                  <c:v>45533.452718122178</c:v>
                </c:pt>
              </c:numCache>
            </c:numRef>
          </c:val>
          <c:smooth val="0"/>
          <c:extLst>
            <c:ext xmlns:c16="http://schemas.microsoft.com/office/drawing/2014/chart" uri="{C3380CC4-5D6E-409C-BE32-E72D297353CC}">
              <c16:uniqueId val="{00000003-01FD-4E5F-8ECF-458AF0873DBD}"/>
            </c:ext>
          </c:extLst>
        </c:ser>
        <c:ser>
          <c:idx val="4"/>
          <c:order val="4"/>
          <c:tx>
            <c:strRef>
              <c:f>'Mobile Combustion'!$B$20</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[0]!ChartRange_CH4N20_Aircraft</c:f>
              <c:numCache>
                <c:formatCode>_(* #,##0_);_(* \(#,##0\);_(* "-"??_);_(@_)</c:formatCode>
                <c:ptCount val="31"/>
                <c:pt idx="0">
                  <c:v>15976.527734171521</c:v>
                </c:pt>
                <c:pt idx="1">
                  <c:v>25160.840473879682</c:v>
                </c:pt>
                <c:pt idx="2">
                  <c:v>28669.501196279682</c:v>
                </c:pt>
                <c:pt idx="3">
                  <c:v>35652.914773422082</c:v>
                </c:pt>
                <c:pt idx="4">
                  <c:v>37035.86913535872</c:v>
                </c:pt>
                <c:pt idx="5">
                  <c:v>39845.448234051211</c:v>
                </c:pt>
                <c:pt idx="6">
                  <c:v>45982.806209647359</c:v>
                </c:pt>
                <c:pt idx="7">
                  <c:v>47489.501580248943</c:v>
                </c:pt>
                <c:pt idx="8">
                  <c:v>49629.635489674249</c:v>
                </c:pt>
                <c:pt idx="9">
                  <c:v>68207.268673896964</c:v>
                </c:pt>
                <c:pt idx="10">
                  <c:v>84305.91141732609</c:v>
                </c:pt>
                <c:pt idx="11">
                  <c:v>69176.659960851845</c:v>
                </c:pt>
                <c:pt idx="12">
                  <c:v>51318.188956860809</c:v>
                </c:pt>
                <c:pt idx="13">
                  <c:v>50305.644538940149</c:v>
                </c:pt>
                <c:pt idx="14">
                  <c:v>80303.044301055343</c:v>
                </c:pt>
                <c:pt idx="15">
                  <c:v>145142.87278684095</c:v>
                </c:pt>
                <c:pt idx="16">
                  <c:v>105066.24565006142</c:v>
                </c:pt>
                <c:pt idx="17">
                  <c:v>108650.24025650304</c:v>
                </c:pt>
                <c:pt idx="18">
                  <c:v>102997.46679285119</c:v>
                </c:pt>
                <c:pt idx="19">
                  <c:v>91680.422254860809</c:v>
                </c:pt>
                <c:pt idx="20">
                  <c:v>103662.46650376641</c:v>
                </c:pt>
                <c:pt idx="21">
                  <c:v>103279.28408640319</c:v>
                </c:pt>
                <c:pt idx="22">
                  <c:v>98019.137188622059</c:v>
                </c:pt>
                <c:pt idx="23">
                  <c:v>100117.93590611713</c:v>
                </c:pt>
                <c:pt idx="24">
                  <c:v>103757.39626117761</c:v>
                </c:pt>
                <c:pt idx="25">
                  <c:v>111502.11652841985</c:v>
                </c:pt>
                <c:pt idx="26">
                  <c:v>113863.37405815873</c:v>
                </c:pt>
                <c:pt idx="27">
                  <c:v>114578.51724488576</c:v>
                </c:pt>
                <c:pt idx="28">
                  <c:v>112805.27822441983</c:v>
                </c:pt>
                <c:pt idx="29">
                  <c:v>114815.19967012417</c:v>
                </c:pt>
                <c:pt idx="30">
                  <c:v>67740.946550374414</c:v>
                </c:pt>
              </c:numCache>
            </c:numRef>
          </c:val>
          <c:smooth val="0"/>
          <c:extLst>
            <c:ext xmlns:c16="http://schemas.microsoft.com/office/drawing/2014/chart" uri="{C3380CC4-5D6E-409C-BE32-E72D297353CC}">
              <c16:uniqueId val="{00000004-01FD-4E5F-8ECF-458AF0873DBD}"/>
            </c:ext>
          </c:extLst>
        </c:ser>
        <c:ser>
          <c:idx val="5"/>
          <c:order val="5"/>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[0]!ChartRange_CH4N20_Year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[0]!ChartRange_CH4N20_Other</c:f>
              <c:numCache>
                <c:formatCode>_(* #,##0_);_(* \(#,##0\);_(* "-"??_);_(@_)</c:formatCode>
                <c:ptCount val="31"/>
                <c:pt idx="0">
                  <c:v>30435.302728857085</c:v>
                </c:pt>
                <c:pt idx="1">
                  <c:v>30588.591486079713</c:v>
                </c:pt>
                <c:pt idx="2">
                  <c:v>31608.44418170234</c:v>
                </c:pt>
                <c:pt idx="3">
                  <c:v>105188.73545456403</c:v>
                </c:pt>
                <c:pt idx="4">
                  <c:v>65728.031582693511</c:v>
                </c:pt>
                <c:pt idx="5">
                  <c:v>65128.947136633389</c:v>
                </c:pt>
                <c:pt idx="6">
                  <c:v>65384.24808798814</c:v>
                </c:pt>
                <c:pt idx="7">
                  <c:v>67739.842848481552</c:v>
                </c:pt>
                <c:pt idx="8">
                  <c:v>91174.390661458994</c:v>
                </c:pt>
                <c:pt idx="9">
                  <c:v>100801.97456794164</c:v>
                </c:pt>
                <c:pt idx="10">
                  <c:v>106920.6583735626</c:v>
                </c:pt>
                <c:pt idx="11">
                  <c:v>106640.89386181759</c:v>
                </c:pt>
                <c:pt idx="12">
                  <c:v>109168.86477724643</c:v>
                </c:pt>
                <c:pt idx="13">
                  <c:v>114006.83578522291</c:v>
                </c:pt>
                <c:pt idx="14">
                  <c:v>119693.37614192365</c:v>
                </c:pt>
                <c:pt idx="15">
                  <c:v>121323.38903104531</c:v>
                </c:pt>
                <c:pt idx="16">
                  <c:v>137709.70115514583</c:v>
                </c:pt>
                <c:pt idx="17">
                  <c:v>43013.314401758907</c:v>
                </c:pt>
                <c:pt idx="18">
                  <c:v>44437.490767981748</c:v>
                </c:pt>
                <c:pt idx="19">
                  <c:v>44224.677853503665</c:v>
                </c:pt>
                <c:pt idx="20">
                  <c:v>140847.74668268292</c:v>
                </c:pt>
                <c:pt idx="21">
                  <c:v>126521.95143239333</c:v>
                </c:pt>
                <c:pt idx="22">
                  <c:v>152170.25138989254</c:v>
                </c:pt>
                <c:pt idx="23">
                  <c:v>127494.1475665663</c:v>
                </c:pt>
                <c:pt idx="24">
                  <c:v>130352.71199924816</c:v>
                </c:pt>
                <c:pt idx="25">
                  <c:v>118714.41215272792</c:v>
                </c:pt>
                <c:pt idx="26">
                  <c:v>119322.62839595067</c:v>
                </c:pt>
                <c:pt idx="27">
                  <c:v>120874.88430053803</c:v>
                </c:pt>
                <c:pt idx="28">
                  <c:v>122181.73689091647</c:v>
                </c:pt>
                <c:pt idx="29">
                  <c:v>123667.70719536989</c:v>
                </c:pt>
                <c:pt idx="30">
                  <c:v>116922.59505069675</c:v>
                </c:pt>
              </c:numCache>
            </c:numRef>
          </c:val>
          <c:smooth val="0"/>
          <c:extLst>
            <c:ext xmlns:c16="http://schemas.microsoft.com/office/drawing/2014/chart" uri="{C3380CC4-5D6E-409C-BE32-E72D297353CC}">
              <c16:uniqueId val="{00000005-01FD-4E5F-8ECF-458AF0873DBD}"/>
            </c:ext>
          </c:extLst>
        </c:ser>
        <c:dLbls>
          <c:showLegendKey val="0"/>
          <c:showVal val="0"/>
          <c:showCatName val="0"/>
          <c:showSerName val="0"/>
          <c:showPercent val="0"/>
          <c:showBubbleSize val="0"/>
        </c:dLbls>
        <c:marker val="1"/>
        <c:smooth val="0"/>
        <c:axId val="219683584"/>
        <c:axId val="219683976"/>
      </c:lineChart>
      <c:catAx>
        <c:axId val="219683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683976"/>
        <c:crosses val="autoZero"/>
        <c:auto val="1"/>
        <c:lblAlgn val="ctr"/>
        <c:lblOffset val="100"/>
        <c:tickLblSkip val="1"/>
        <c:tickMarkSkip val="1"/>
        <c:noMultiLvlLbl val="0"/>
      </c:catAx>
      <c:valAx>
        <c:axId val="219683976"/>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1349772339361315E-3"/>
              <c:y val="0.42492089804563904"/>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683584"/>
        <c:crosses val="autoZero"/>
        <c:crossBetween val="between"/>
      </c:valAx>
      <c:spPr>
        <a:solidFill>
          <a:srgbClr val="FFFFFF"/>
        </a:solidFill>
        <a:ln w="12700">
          <a:solidFill>
            <a:srgbClr val="FFFFFF"/>
          </a:solidFill>
          <a:prstDash val="solid"/>
        </a:ln>
      </c:spPr>
    </c:plotArea>
    <c:legend>
      <c:legendPos val="r"/>
      <c:layout>
        <c:manualLayout>
          <c:xMode val="edge"/>
          <c:yMode val="edge"/>
          <c:x val="0.86077106555634852"/>
          <c:y val="0.26348627793823121"/>
          <c:w val="0.12776430659066637"/>
          <c:h val="0.64523017668338511"/>
        </c:manualLayout>
      </c:layout>
      <c:overlay val="0"/>
      <c:spPr>
        <a:solidFill>
          <a:srgbClr val="FFFFFF"/>
        </a:solidFill>
        <a:ln w="3175">
          <a:no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'Mobile Combustion'!$BN$12</c:f>
          <c:strCache>
            <c:ptCount val="1"/>
            <c:pt idx="0">
              <c:v>Nitrous Oxide Emissions from Non-Highway Mobile Sources, 1990-2020</c:v>
            </c:pt>
          </c:strCache>
        </c:strRef>
      </c:tx>
      <c:layout>
        <c:manualLayout>
          <c:xMode val="edge"/>
          <c:yMode val="edge"/>
          <c:x val="0.2268804971863724"/>
          <c:y val="3.4591231651599108E-2"/>
        </c:manualLayout>
      </c:layout>
      <c:overlay val="0"/>
      <c:spPr>
        <a:noFill/>
        <a:ln w="25400">
          <a:noFill/>
        </a:ln>
      </c:spPr>
      <c:txPr>
        <a:bodyPr/>
        <a:lstStyle/>
        <a:p>
          <a:pPr>
            <a:defRPr sz="1200" b="0" i="0" u="none" strike="noStrike" baseline="0">
              <a:solidFill>
                <a:srgbClr val="000000"/>
              </a:solidFill>
              <a:latin typeface="Comic Sans MS"/>
              <a:ea typeface="Comic Sans MS"/>
              <a:cs typeface="Comic Sans MS"/>
            </a:defRPr>
          </a:pPr>
          <a:endParaRPr lang="en-US"/>
        </a:p>
      </c:txPr>
    </c:title>
    <c:autoTitleDeleted val="0"/>
    <c:plotArea>
      <c:layout>
        <c:manualLayout>
          <c:layoutTarget val="inner"/>
          <c:xMode val="edge"/>
          <c:yMode val="edge"/>
          <c:x val="7.0283642809105998E-2"/>
          <c:y val="0.21698179841599849"/>
          <c:w val="0.7472260972336533"/>
          <c:h val="0.61320943030608266"/>
        </c:manualLayout>
      </c:layout>
      <c:lineChart>
        <c:grouping val="standard"/>
        <c:varyColors val="0"/>
        <c:ser>
          <c:idx val="0"/>
          <c:order val="0"/>
          <c:tx>
            <c:strRef>
              <c:f>'Mobile Combustion'!$B$69</c:f>
              <c:strCache>
                <c:ptCount val="1"/>
                <c:pt idx="0">
                  <c:v>Boats</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[0]!ChartRange_N2O_Boats</c:f>
              <c:numCache>
                <c:formatCode>_(* #,##0_);_(* \(#,##0\);_(* "-"??_);_(@_)</c:formatCode>
                <c:ptCount val="31"/>
                <c:pt idx="0">
                  <c:v>581.045680571356</c:v>
                </c:pt>
                <c:pt idx="1">
                  <c:v>554.20552492218962</c:v>
                </c:pt>
                <c:pt idx="2">
                  <c:v>523.77278076779942</c:v>
                </c:pt>
                <c:pt idx="3">
                  <c:v>505.16088376736889</c:v>
                </c:pt>
                <c:pt idx="4">
                  <c:v>567.59164512271377</c:v>
                </c:pt>
                <c:pt idx="5">
                  <c:v>577.86358167061564</c:v>
                </c:pt>
                <c:pt idx="6">
                  <c:v>523.75235061455044</c:v>
                </c:pt>
                <c:pt idx="7">
                  <c:v>600.23538843501558</c:v>
                </c:pt>
                <c:pt idx="8">
                  <c:v>552.22151312470805</c:v>
                </c:pt>
                <c:pt idx="9">
                  <c:v>579.41044046551849</c:v>
                </c:pt>
                <c:pt idx="10">
                  <c:v>815.54514979406667</c:v>
                </c:pt>
                <c:pt idx="11">
                  <c:v>1024.2716987549488</c:v>
                </c:pt>
                <c:pt idx="12">
                  <c:v>783.6328230086076</c:v>
                </c:pt>
                <c:pt idx="13">
                  <c:v>1053.5384441772617</c:v>
                </c:pt>
                <c:pt idx="14">
                  <c:v>69.381602803894154</c:v>
                </c:pt>
                <c:pt idx="15">
                  <c:v>655.42632819392577</c:v>
                </c:pt>
                <c:pt idx="16">
                  <c:v>805.95312789055185</c:v>
                </c:pt>
                <c:pt idx="17">
                  <c:v>704.84214049124012</c:v>
                </c:pt>
                <c:pt idx="18">
                  <c:v>668.34018597607144</c:v>
                </c:pt>
                <c:pt idx="19">
                  <c:v>625.90611299093132</c:v>
                </c:pt>
                <c:pt idx="20">
                  <c:v>554.00427885887029</c:v>
                </c:pt>
                <c:pt idx="21">
                  <c:v>515.35490998379896</c:v>
                </c:pt>
                <c:pt idx="22">
                  <c:v>614.03376305601262</c:v>
                </c:pt>
                <c:pt idx="23">
                  <c:v>637.82672682904069</c:v>
                </c:pt>
                <c:pt idx="24">
                  <c:v>454.09474339207532</c:v>
                </c:pt>
                <c:pt idx="25">
                  <c:v>789.39918323332995</c:v>
                </c:pt>
                <c:pt idx="26">
                  <c:v>785.15141160435985</c:v>
                </c:pt>
                <c:pt idx="27">
                  <c:v>788.94525516657984</c:v>
                </c:pt>
                <c:pt idx="28">
                  <c:v>847.74651644740413</c:v>
                </c:pt>
                <c:pt idx="29">
                  <c:v>768.45356428192144</c:v>
                </c:pt>
                <c:pt idx="30">
                  <c:v>799.58107874559312</c:v>
                </c:pt>
              </c:numCache>
            </c:numRef>
          </c:val>
          <c:smooth val="0"/>
          <c:extLst>
            <c:ext xmlns:c16="http://schemas.microsoft.com/office/drawing/2014/chart" uri="{C3380CC4-5D6E-409C-BE32-E72D297353CC}">
              <c16:uniqueId val="{00000000-7FBB-46CD-A011-4ACFC492B6BC}"/>
            </c:ext>
          </c:extLst>
        </c:ser>
        <c:ser>
          <c:idx val="1"/>
          <c:order val="1"/>
          <c:tx>
            <c:strRef>
              <c:f>'Mobile Combustion'!$B$70</c:f>
              <c:strCache>
                <c:ptCount val="1"/>
                <c:pt idx="0">
                  <c:v>Locomotives</c:v>
                </c:pt>
              </c:strCache>
            </c:strRef>
          </c:tx>
          <c:spPr>
            <a:ln w="12700">
              <a:solidFill>
                <a:srgbClr val="808000"/>
              </a:solidFill>
              <a:prstDash val="solid"/>
            </a:ln>
          </c:spPr>
          <c:marker>
            <c:symbol val="square"/>
            <c:size val="5"/>
            <c:spPr>
              <a:solidFill>
                <a:srgbClr val="808000"/>
              </a:solidFill>
              <a:ln>
                <a:solidFill>
                  <a:srgbClr val="8080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[0]!ChartRange_N2O_Locomotives</c:f>
              <c:numCache>
                <c:formatCode>_(* #,##0_);_(* \(#,##0\);_(* "-"??_);_(@_)</c:formatCode>
                <c:ptCount val="31"/>
                <c:pt idx="0">
                  <c:v>11060.186279999998</c:v>
                </c:pt>
                <c:pt idx="1">
                  <c:v>9032.4248299999999</c:v>
                </c:pt>
                <c:pt idx="2">
                  <c:v>8670.5275799999999</c:v>
                </c:pt>
                <c:pt idx="3">
                  <c:v>9213.8660900000013</c:v>
                </c:pt>
                <c:pt idx="4">
                  <c:v>10533.445779999998</c:v>
                </c:pt>
                <c:pt idx="5">
                  <c:v>13863.431010000002</c:v>
                </c:pt>
                <c:pt idx="6">
                  <c:v>15218.480419999998</c:v>
                </c:pt>
                <c:pt idx="7">
                  <c:v>11340.609280000001</c:v>
                </c:pt>
                <c:pt idx="8">
                  <c:v>7907.3980700000011</c:v>
                </c:pt>
                <c:pt idx="9">
                  <c:v>9349.22703</c:v>
                </c:pt>
                <c:pt idx="10">
                  <c:v>8068.7549800000006</c:v>
                </c:pt>
                <c:pt idx="11">
                  <c:v>5639.9886399999996</c:v>
                </c:pt>
                <c:pt idx="12">
                  <c:v>7926.6487300000008</c:v>
                </c:pt>
                <c:pt idx="13">
                  <c:v>15293.133569999998</c:v>
                </c:pt>
                <c:pt idx="14">
                  <c:v>5146.3683700000001</c:v>
                </c:pt>
                <c:pt idx="15">
                  <c:v>4771.6626100000003</c:v>
                </c:pt>
                <c:pt idx="16">
                  <c:v>3382.2045400000002</c:v>
                </c:pt>
                <c:pt idx="17">
                  <c:v>3344.2337500000003</c:v>
                </c:pt>
                <c:pt idx="18">
                  <c:v>4127.1444499999998</c:v>
                </c:pt>
                <c:pt idx="19">
                  <c:v>4771.7383999999984</c:v>
                </c:pt>
                <c:pt idx="20">
                  <c:v>6747.4321200000004</c:v>
                </c:pt>
                <c:pt idx="21">
                  <c:v>5018.5864299999994</c:v>
                </c:pt>
                <c:pt idx="22">
                  <c:v>5672.6541299999999</c:v>
                </c:pt>
                <c:pt idx="23">
                  <c:v>6293.8289699999996</c:v>
                </c:pt>
                <c:pt idx="24">
                  <c:v>11515.911550000001</c:v>
                </c:pt>
                <c:pt idx="25">
                  <c:v>15732.563989999999</c:v>
                </c:pt>
                <c:pt idx="26">
                  <c:v>18344.742129999999</c:v>
                </c:pt>
                <c:pt idx="27">
                  <c:v>22354.184710000001</c:v>
                </c:pt>
                <c:pt idx="28">
                  <c:v>23813.900110000002</c:v>
                </c:pt>
                <c:pt idx="29">
                  <c:v>22059.05845</c:v>
                </c:pt>
                <c:pt idx="30">
                  <c:v>17687.870199999994</c:v>
                </c:pt>
              </c:numCache>
            </c:numRef>
          </c:val>
          <c:smooth val="0"/>
          <c:extLst>
            <c:ext xmlns:c16="http://schemas.microsoft.com/office/drawing/2014/chart" uri="{C3380CC4-5D6E-409C-BE32-E72D297353CC}">
              <c16:uniqueId val="{00000001-7FBB-46CD-A011-4ACFC492B6BC}"/>
            </c:ext>
          </c:extLst>
        </c:ser>
        <c:ser>
          <c:idx val="2"/>
          <c:order val="2"/>
          <c:tx>
            <c:strRef>
              <c:f>'Mobile Combustion'!$B$71</c:f>
              <c:strCache>
                <c:ptCount val="1"/>
                <c:pt idx="0">
                  <c:v>Farm Equipment</c:v>
                </c:pt>
              </c:strCache>
            </c:strRef>
          </c:tx>
          <c:spPr>
            <a:ln w="12700">
              <a:solidFill>
                <a:srgbClr val="003300"/>
              </a:solidFill>
              <a:prstDash val="solid"/>
            </a:ln>
          </c:spPr>
          <c:marker>
            <c:symbol val="triangle"/>
            <c:size val="5"/>
            <c:spPr>
              <a:solidFill>
                <a:srgbClr val="003300"/>
              </a:solidFill>
              <a:ln>
                <a:solidFill>
                  <a:srgbClr val="0033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[0]!ChartRange_N2O_Farm</c:f>
              <c:numCache>
                <c:formatCode>_(* #,##0_);_(* \(#,##0\);_(* "-"??_);_(@_)</c:formatCode>
                <c:ptCount val="31"/>
                <c:pt idx="0">
                  <c:v>68804.670995572029</c:v>
                </c:pt>
                <c:pt idx="1">
                  <c:v>61151.589046871588</c:v>
                </c:pt>
                <c:pt idx="2">
                  <c:v>67211.428435618524</c:v>
                </c:pt>
                <c:pt idx="3">
                  <c:v>62125.976614333311</c:v>
                </c:pt>
                <c:pt idx="4">
                  <c:v>60942.930674433475</c:v>
                </c:pt>
                <c:pt idx="5">
                  <c:v>73370.790655417106</c:v>
                </c:pt>
                <c:pt idx="6">
                  <c:v>68828.465774230121</c:v>
                </c:pt>
                <c:pt idx="7">
                  <c:v>69503.151629602871</c:v>
                </c:pt>
                <c:pt idx="8">
                  <c:v>69368.190414742508</c:v>
                </c:pt>
                <c:pt idx="9">
                  <c:v>49731.298765662177</c:v>
                </c:pt>
                <c:pt idx="10">
                  <c:v>55277.181290179113</c:v>
                </c:pt>
                <c:pt idx="11">
                  <c:v>51143.339370097019</c:v>
                </c:pt>
                <c:pt idx="12">
                  <c:v>50901.709073818281</c:v>
                </c:pt>
                <c:pt idx="13">
                  <c:v>54048.539177992978</c:v>
                </c:pt>
                <c:pt idx="14">
                  <c:v>55483.351448563866</c:v>
                </c:pt>
                <c:pt idx="15">
                  <c:v>56364.229555181453</c:v>
                </c:pt>
                <c:pt idx="16">
                  <c:v>72414.601312132174</c:v>
                </c:pt>
                <c:pt idx="17">
                  <c:v>62552.853399553234</c:v>
                </c:pt>
                <c:pt idx="18">
                  <c:v>68956.242169074161</c:v>
                </c:pt>
                <c:pt idx="19">
                  <c:v>44022.178593654513</c:v>
                </c:pt>
                <c:pt idx="20">
                  <c:v>49533.218941999243</c:v>
                </c:pt>
                <c:pt idx="21">
                  <c:v>52466.856475447043</c:v>
                </c:pt>
                <c:pt idx="22">
                  <c:v>53030.969293512368</c:v>
                </c:pt>
                <c:pt idx="23">
                  <c:v>56873.541690936516</c:v>
                </c:pt>
                <c:pt idx="24">
                  <c:v>60688.946480198611</c:v>
                </c:pt>
                <c:pt idx="25">
                  <c:v>55551.394301110275</c:v>
                </c:pt>
                <c:pt idx="26">
                  <c:v>55419.926808809585</c:v>
                </c:pt>
                <c:pt idx="27">
                  <c:v>54951.677007112652</c:v>
                </c:pt>
                <c:pt idx="28">
                  <c:v>57180.661542922644</c:v>
                </c:pt>
                <c:pt idx="29">
                  <c:v>50871.589530618243</c:v>
                </c:pt>
                <c:pt idx="30">
                  <c:v>57147.856696361072</c:v>
                </c:pt>
              </c:numCache>
            </c:numRef>
          </c:val>
          <c:smooth val="0"/>
          <c:extLst>
            <c:ext xmlns:c16="http://schemas.microsoft.com/office/drawing/2014/chart" uri="{C3380CC4-5D6E-409C-BE32-E72D297353CC}">
              <c16:uniqueId val="{00000002-7FBB-46CD-A011-4ACFC492B6BC}"/>
            </c:ext>
          </c:extLst>
        </c:ser>
        <c:ser>
          <c:idx val="3"/>
          <c:order val="3"/>
          <c:tx>
            <c:strRef>
              <c:f>'Mobile Combustion'!$B$72</c:f>
              <c:strCache>
                <c:ptCount val="1"/>
                <c:pt idx="0">
                  <c:v>Construction Equipment</c:v>
                </c:pt>
              </c:strCache>
            </c:strRef>
          </c:tx>
          <c:spPr>
            <a:ln w="12700">
              <a:solidFill>
                <a:srgbClr val="800080"/>
              </a:solidFill>
              <a:prstDash val="solid"/>
            </a:ln>
          </c:spPr>
          <c:marker>
            <c:symbol val="x"/>
            <c:size val="5"/>
            <c:spPr>
              <a:noFill/>
              <a:ln>
                <a:solidFill>
                  <a:srgbClr val="80008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[0]!ChartRange_N2O_Construction_Equipment</c:f>
              <c:numCache>
                <c:formatCode>_(* #,##0_);_(* \(#,##0\);_(* "-"??_);_(@_)</c:formatCode>
                <c:ptCount val="31"/>
                <c:pt idx="0">
                  <c:v>55850.226928115502</c:v>
                </c:pt>
                <c:pt idx="1">
                  <c:v>50451.818563068126</c:v>
                </c:pt>
                <c:pt idx="2">
                  <c:v>52648.466858970925</c:v>
                </c:pt>
                <c:pt idx="3">
                  <c:v>57913.645227069464</c:v>
                </c:pt>
                <c:pt idx="4">
                  <c:v>57637.177190466602</c:v>
                </c:pt>
                <c:pt idx="5">
                  <c:v>46758.594618600364</c:v>
                </c:pt>
                <c:pt idx="6">
                  <c:v>50002.160638321329</c:v>
                </c:pt>
                <c:pt idx="7">
                  <c:v>48604.651423384072</c:v>
                </c:pt>
                <c:pt idx="8">
                  <c:v>46111.517320778388</c:v>
                </c:pt>
                <c:pt idx="9">
                  <c:v>48804.722847633493</c:v>
                </c:pt>
                <c:pt idx="10">
                  <c:v>47318.145079781236</c:v>
                </c:pt>
                <c:pt idx="11">
                  <c:v>53832.754069923853</c:v>
                </c:pt>
                <c:pt idx="12">
                  <c:v>65327.760341989633</c:v>
                </c:pt>
                <c:pt idx="13">
                  <c:v>78181.676733835397</c:v>
                </c:pt>
                <c:pt idx="14">
                  <c:v>69091.005381273135</c:v>
                </c:pt>
                <c:pt idx="15">
                  <c:v>84627.753905723148</c:v>
                </c:pt>
                <c:pt idx="16">
                  <c:v>97772.356962874153</c:v>
                </c:pt>
                <c:pt idx="17">
                  <c:v>72854.754692273913</c:v>
                </c:pt>
                <c:pt idx="18">
                  <c:v>64896.1964229246</c:v>
                </c:pt>
                <c:pt idx="19">
                  <c:v>61547.880422327253</c:v>
                </c:pt>
                <c:pt idx="20">
                  <c:v>63284.956270564231</c:v>
                </c:pt>
                <c:pt idx="21">
                  <c:v>71456.964842015994</c:v>
                </c:pt>
                <c:pt idx="22">
                  <c:v>63424.262188122586</c:v>
                </c:pt>
                <c:pt idx="23">
                  <c:v>71765.067615564752</c:v>
                </c:pt>
                <c:pt idx="24">
                  <c:v>64407.889952298639</c:v>
                </c:pt>
                <c:pt idx="25">
                  <c:v>37112.053326581823</c:v>
                </c:pt>
                <c:pt idx="26">
                  <c:v>38291.746209657293</c:v>
                </c:pt>
                <c:pt idx="27">
                  <c:v>41490.661706804021</c:v>
                </c:pt>
                <c:pt idx="28">
                  <c:v>42838.84989693018</c:v>
                </c:pt>
                <c:pt idx="29">
                  <c:v>43956.779984231915</c:v>
                </c:pt>
                <c:pt idx="30">
                  <c:v>40580.359373279236</c:v>
                </c:pt>
              </c:numCache>
            </c:numRef>
          </c:val>
          <c:smooth val="0"/>
          <c:extLst>
            <c:ext xmlns:c16="http://schemas.microsoft.com/office/drawing/2014/chart" uri="{C3380CC4-5D6E-409C-BE32-E72D297353CC}">
              <c16:uniqueId val="{00000003-7FBB-46CD-A011-4ACFC492B6BC}"/>
            </c:ext>
          </c:extLst>
        </c:ser>
        <c:ser>
          <c:idx val="4"/>
          <c:order val="4"/>
          <c:tx>
            <c:strRef>
              <c:f>'Mobile Combustion'!$B$73</c:f>
              <c:strCache>
                <c:ptCount val="1"/>
                <c:pt idx="0">
                  <c:v>Aircraft</c:v>
                </c:pt>
              </c:strCache>
            </c:strRef>
          </c:tx>
          <c:spPr>
            <a:ln w="12700">
              <a:solidFill>
                <a:srgbClr val="FF0000"/>
              </a:solidFill>
              <a:prstDash val="solid"/>
            </a:ln>
          </c:spPr>
          <c:marker>
            <c:symbol val="star"/>
            <c:size val="5"/>
            <c:spPr>
              <a:noFill/>
              <a:ln>
                <a:solidFill>
                  <a:srgbClr val="FF00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[0]!ChartRange_N2O_Aircraft</c:f>
              <c:numCache>
                <c:formatCode>_(* #,##0_);_(* \(#,##0\);_(* "-"??_);_(@_)</c:formatCode>
                <c:ptCount val="31"/>
                <c:pt idx="0">
                  <c:v>13400.5374897456</c:v>
                </c:pt>
                <c:pt idx="1">
                  <c:v>21721.588906190402</c:v>
                </c:pt>
                <c:pt idx="2">
                  <c:v>24934.870256190403</c:v>
                </c:pt>
                <c:pt idx="3">
                  <c:v>30917.546414062399</c:v>
                </c:pt>
                <c:pt idx="4">
                  <c:v>32386.7392595616</c:v>
                </c:pt>
                <c:pt idx="5">
                  <c:v>34877.225077136012</c:v>
                </c:pt>
                <c:pt idx="6">
                  <c:v>40595.4834918208</c:v>
                </c:pt>
                <c:pt idx="7">
                  <c:v>42012.866817468785</c:v>
                </c:pt>
                <c:pt idx="8">
                  <c:v>44190.507570227201</c:v>
                </c:pt>
                <c:pt idx="9">
                  <c:v>61174.143805708809</c:v>
                </c:pt>
                <c:pt idx="10">
                  <c:v>76037.606543782415</c:v>
                </c:pt>
                <c:pt idx="11">
                  <c:v>62504.783592355205</c:v>
                </c:pt>
                <c:pt idx="12">
                  <c:v>45609.305831024001</c:v>
                </c:pt>
                <c:pt idx="13">
                  <c:v>44854.642617004793</c:v>
                </c:pt>
                <c:pt idx="14">
                  <c:v>72214.096720060785</c:v>
                </c:pt>
                <c:pt idx="15">
                  <c:v>132195.81777042878</c:v>
                </c:pt>
                <c:pt idx="16">
                  <c:v>95598.157946243184</c:v>
                </c:pt>
                <c:pt idx="17">
                  <c:v>98917.961431891192</c:v>
                </c:pt>
                <c:pt idx="18">
                  <c:v>93650.998458335991</c:v>
                </c:pt>
                <c:pt idx="19">
                  <c:v>83511.870012224012</c:v>
                </c:pt>
                <c:pt idx="20">
                  <c:v>94147.423761391998</c:v>
                </c:pt>
                <c:pt idx="21">
                  <c:v>93721.439270095987</c:v>
                </c:pt>
                <c:pt idx="22">
                  <c:v>88971.676520262379</c:v>
                </c:pt>
                <c:pt idx="23">
                  <c:v>91058.919505113605</c:v>
                </c:pt>
                <c:pt idx="24">
                  <c:v>94497.073840928002</c:v>
                </c:pt>
                <c:pt idx="25">
                  <c:v>101454.68966059521</c:v>
                </c:pt>
                <c:pt idx="26">
                  <c:v>103684.71739076161</c:v>
                </c:pt>
                <c:pt idx="27">
                  <c:v>104317.13750737281</c:v>
                </c:pt>
                <c:pt idx="28">
                  <c:v>102648.14366059519</c:v>
                </c:pt>
                <c:pt idx="29">
                  <c:v>104496.36434172482</c:v>
                </c:pt>
                <c:pt idx="30">
                  <c:v>61437.636789632008</c:v>
                </c:pt>
              </c:numCache>
            </c:numRef>
          </c:val>
          <c:smooth val="0"/>
          <c:extLst>
            <c:ext xmlns:c16="http://schemas.microsoft.com/office/drawing/2014/chart" uri="{C3380CC4-5D6E-409C-BE32-E72D297353CC}">
              <c16:uniqueId val="{00000004-7FBB-46CD-A011-4ACFC492B6BC}"/>
            </c:ext>
          </c:extLst>
        </c:ser>
        <c:ser>
          <c:idx val="5"/>
          <c:order val="5"/>
          <c:tx>
            <c:v>Other</c:v>
          </c:tx>
          <c:spPr>
            <a:ln w="12700">
              <a:solidFill>
                <a:srgbClr val="993300"/>
              </a:solidFill>
              <a:prstDash val="solid"/>
            </a:ln>
          </c:spPr>
          <c:marker>
            <c:symbol val="circle"/>
            <c:size val="5"/>
            <c:spPr>
              <a:solidFill>
                <a:srgbClr val="993300"/>
              </a:solidFill>
              <a:ln>
                <a:solidFill>
                  <a:srgbClr val="993300"/>
                </a:solidFill>
                <a:prstDash val="solid"/>
              </a:ln>
            </c:spPr>
          </c:marker>
          <c:cat>
            <c:numRef>
              <c:f>[0]!ChartRange_N2O_Year</c:f>
              <c:numCache>
                <c:formatCode>General</c:formatCode>
                <c:ptCount val="31"/>
                <c:pt idx="0">
                  <c:v>1990</c:v>
                </c:pt>
                <c:pt idx="1">
                  <c:v>1991</c:v>
                </c:pt>
                <c:pt idx="2">
                  <c:v>1992</c:v>
                </c:pt>
                <c:pt idx="3">
                  <c:v>1993</c:v>
                </c:pt>
                <c:pt idx="4">
                  <c:v>1994</c:v>
                </c:pt>
                <c:pt idx="5">
                  <c:v>1995</c:v>
                </c:pt>
                <c:pt idx="6">
                  <c:v>1996</c:v>
                </c:pt>
                <c:pt idx="7">
                  <c:v>1997</c:v>
                </c:pt>
                <c:pt idx="8">
                  <c:v>1998</c:v>
                </c:pt>
                <c:pt idx="9">
                  <c:v>1999</c:v>
                </c:pt>
                <c:pt idx="10">
                  <c:v>2000</c:v>
                </c:pt>
                <c:pt idx="11">
                  <c:v>2001</c:v>
                </c:pt>
                <c:pt idx="12">
                  <c:v>2002</c:v>
                </c:pt>
                <c:pt idx="13">
                  <c:v>2003</c:v>
                </c:pt>
                <c:pt idx="14">
                  <c:v>2004</c:v>
                </c:pt>
                <c:pt idx="15">
                  <c:v>2005</c:v>
                </c:pt>
                <c:pt idx="16">
                  <c:v>2006</c:v>
                </c:pt>
                <c:pt idx="17">
                  <c:v>2007</c:v>
                </c:pt>
                <c:pt idx="18">
                  <c:v>2008</c:v>
                </c:pt>
                <c:pt idx="19">
                  <c:v>2009</c:v>
                </c:pt>
                <c:pt idx="20">
                  <c:v>2010</c:v>
                </c:pt>
                <c:pt idx="21">
                  <c:v>2011</c:v>
                </c:pt>
                <c:pt idx="22">
                  <c:v>2012</c:v>
                </c:pt>
                <c:pt idx="23">
                  <c:v>2013</c:v>
                </c:pt>
                <c:pt idx="24">
                  <c:v>2014</c:v>
                </c:pt>
                <c:pt idx="25">
                  <c:v>2015</c:v>
                </c:pt>
                <c:pt idx="26">
                  <c:v>2016</c:v>
                </c:pt>
                <c:pt idx="27">
                  <c:v>2017</c:v>
                </c:pt>
                <c:pt idx="28">
                  <c:v>2018</c:v>
                </c:pt>
                <c:pt idx="29">
                  <c:v>2019</c:v>
                </c:pt>
                <c:pt idx="30">
                  <c:v>2020</c:v>
                </c:pt>
              </c:numCache>
            </c:numRef>
          </c:cat>
          <c:val>
            <c:numRef>
              <c:f>[0]!ChartRange_N2O_Other</c:f>
              <c:numCache>
                <c:formatCode>_(* #,##0_);_(* \(#,##0\);_(* "-"??_);_(@_)</c:formatCode>
                <c:ptCount val="31"/>
                <c:pt idx="0">
                  <c:v>26104.78090047164</c:v>
                </c:pt>
                <c:pt idx="1">
                  <c:v>26231.419650642172</c:v>
                </c:pt>
                <c:pt idx="2">
                  <c:v>27101.544925733262</c:v>
                </c:pt>
                <c:pt idx="3">
                  <c:v>90221.547710146566</c:v>
                </c:pt>
                <c:pt idx="4">
                  <c:v>56363.12144287843</c:v>
                </c:pt>
                <c:pt idx="5">
                  <c:v>55833.945490777463</c:v>
                </c:pt>
                <c:pt idx="6">
                  <c:v>56041.876246528911</c:v>
                </c:pt>
                <c:pt idx="7">
                  <c:v>58048.839373474992</c:v>
                </c:pt>
                <c:pt idx="8">
                  <c:v>78108.713250242407</c:v>
                </c:pt>
                <c:pt idx="9">
                  <c:v>86374.863714903171</c:v>
                </c:pt>
                <c:pt idx="10">
                  <c:v>91582.024152971353</c:v>
                </c:pt>
                <c:pt idx="11">
                  <c:v>91138.659238487977</c:v>
                </c:pt>
                <c:pt idx="12">
                  <c:v>93294.721115838009</c:v>
                </c:pt>
                <c:pt idx="13">
                  <c:v>97440.729874268043</c:v>
                </c:pt>
                <c:pt idx="14">
                  <c:v>102291.45670515041</c:v>
                </c:pt>
                <c:pt idx="15">
                  <c:v>103691.6538526217</c:v>
                </c:pt>
                <c:pt idx="16">
                  <c:v>119589.39825202379</c:v>
                </c:pt>
                <c:pt idx="17">
                  <c:v>36767.728224316401</c:v>
                </c:pt>
                <c:pt idx="18">
                  <c:v>37976.274346894301</c:v>
                </c:pt>
                <c:pt idx="19">
                  <c:v>37777.131904297436</c:v>
                </c:pt>
                <c:pt idx="20">
                  <c:v>120262.79685722724</c:v>
                </c:pt>
                <c:pt idx="21">
                  <c:v>108069.30439696761</c:v>
                </c:pt>
                <c:pt idx="22">
                  <c:v>130026.85205181529</c:v>
                </c:pt>
                <c:pt idx="23">
                  <c:v>108945.93436704406</c:v>
                </c:pt>
                <c:pt idx="24">
                  <c:v>111377.75091168765</c:v>
                </c:pt>
                <c:pt idx="25">
                  <c:v>101520.03773194533</c:v>
                </c:pt>
                <c:pt idx="26">
                  <c:v>102050.1346523378</c:v>
                </c:pt>
                <c:pt idx="27">
                  <c:v>103429.65202199097</c:v>
                </c:pt>
                <c:pt idx="28">
                  <c:v>104593.82877641659</c:v>
                </c:pt>
                <c:pt idx="29">
                  <c:v>105901.91713324937</c:v>
                </c:pt>
                <c:pt idx="30">
                  <c:v>100071.40971307039</c:v>
                </c:pt>
              </c:numCache>
            </c:numRef>
          </c:val>
          <c:smooth val="0"/>
          <c:extLst>
            <c:ext xmlns:c16="http://schemas.microsoft.com/office/drawing/2014/chart" uri="{C3380CC4-5D6E-409C-BE32-E72D297353CC}">
              <c16:uniqueId val="{00000005-7FBB-46CD-A011-4ACFC492B6BC}"/>
            </c:ext>
          </c:extLst>
        </c:ser>
        <c:dLbls>
          <c:showLegendKey val="0"/>
          <c:showVal val="0"/>
          <c:showCatName val="0"/>
          <c:showSerName val="0"/>
          <c:showPercent val="0"/>
          <c:showBubbleSize val="0"/>
        </c:dLbls>
        <c:marker val="1"/>
        <c:smooth val="0"/>
        <c:axId val="219684760"/>
        <c:axId val="219685152"/>
      </c:lineChart>
      <c:catAx>
        <c:axId val="219684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Comic Sans MS"/>
                <a:ea typeface="Comic Sans MS"/>
                <a:cs typeface="Comic Sans MS"/>
              </a:defRPr>
            </a:pPr>
            <a:endParaRPr lang="en-US"/>
          </a:p>
        </c:txPr>
        <c:crossAx val="219685152"/>
        <c:crosses val="autoZero"/>
        <c:auto val="1"/>
        <c:lblAlgn val="ctr"/>
        <c:lblOffset val="100"/>
        <c:tickLblSkip val="1"/>
        <c:tickMarkSkip val="1"/>
        <c:noMultiLvlLbl val="0"/>
      </c:catAx>
      <c:valAx>
        <c:axId val="219685152"/>
        <c:scaling>
          <c:orientation val="minMax"/>
        </c:scaling>
        <c:delete val="0"/>
        <c:axPos val="l"/>
        <c:majorGridlines>
          <c:spPr>
            <a:ln w="3175">
              <a:solidFill>
                <a:srgbClr val="000000"/>
              </a:solidFill>
              <a:prstDash val="solid"/>
            </a:ln>
          </c:spPr>
        </c:majorGridlines>
        <c:title>
          <c:tx>
            <c:rich>
              <a:bodyPr/>
              <a:lstStyle/>
              <a:p>
                <a:pPr>
                  <a:defRPr sz="1100" b="0" i="0" u="none" strike="noStrike" baseline="0">
                    <a:solidFill>
                      <a:srgbClr val="000000"/>
                    </a:solidFill>
                    <a:latin typeface="Calibri"/>
                    <a:ea typeface="Calibri"/>
                    <a:cs typeface="Calibri"/>
                  </a:defRPr>
                </a:pPr>
                <a:r>
                  <a:rPr lang="en-US" sz="800" b="1" i="0" u="none" strike="noStrike" baseline="0">
                    <a:solidFill>
                      <a:srgbClr val="000000"/>
                    </a:solidFill>
                    <a:latin typeface="Comic Sans MS"/>
                  </a:rPr>
                  <a:t>MTCO</a:t>
                </a:r>
                <a:r>
                  <a:rPr lang="en-US" sz="800" b="1" i="0" u="none" strike="noStrike" baseline="-25000">
                    <a:solidFill>
                      <a:srgbClr val="000000"/>
                    </a:solidFill>
                    <a:latin typeface="Comic Sans MS"/>
                  </a:rPr>
                  <a:t>2</a:t>
                </a:r>
                <a:r>
                  <a:rPr lang="en-US" sz="800" b="1" i="0" u="none" strike="noStrike" baseline="0">
                    <a:solidFill>
                      <a:srgbClr val="000000"/>
                    </a:solidFill>
                    <a:latin typeface="Comic Sans MS"/>
                  </a:rPr>
                  <a:t>E</a:t>
                </a:r>
              </a:p>
            </c:rich>
          </c:tx>
          <c:layout>
            <c:manualLayout>
              <c:xMode val="edge"/>
              <c:yMode val="edge"/>
              <c:x val="6.1652611470903416E-3"/>
              <c:y val="0.42767441106898674"/>
            </c:manualLayout>
          </c:layout>
          <c:overlay val="0"/>
          <c:spPr>
            <a:noFill/>
            <a:ln w="25400">
              <a:noFill/>
            </a:ln>
          </c:spPr>
        </c:title>
        <c:numFmt formatCode="_(* #,##0_);_(* \(#,##0\);_(* &quot;-&quot;??_);_(@_)"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Comic Sans MS"/>
                <a:ea typeface="Comic Sans MS"/>
                <a:cs typeface="Comic Sans MS"/>
              </a:defRPr>
            </a:pPr>
            <a:endParaRPr lang="en-US"/>
          </a:p>
        </c:txPr>
        <c:crossAx val="219684760"/>
        <c:crosses val="autoZero"/>
        <c:crossBetween val="between"/>
      </c:valAx>
      <c:spPr>
        <a:solidFill>
          <a:srgbClr val="FFFFFF"/>
        </a:solidFill>
        <a:ln w="12700">
          <a:solidFill>
            <a:srgbClr val="FFFFFF"/>
          </a:solidFill>
          <a:prstDash val="solid"/>
        </a:ln>
      </c:spPr>
    </c:plotArea>
    <c:legend>
      <c:legendPos val="r"/>
      <c:layout>
        <c:manualLayout>
          <c:xMode val="edge"/>
          <c:yMode val="edge"/>
          <c:x val="0.8594910677979124"/>
          <c:y val="0.27811916482770327"/>
          <c:w val="0.12982752266928313"/>
          <c:h val="0.46421360599918121"/>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Comic Sans MS"/>
              <a:ea typeface="Comic Sans MS"/>
              <a:cs typeface="Comic Sans MS"/>
            </a:defRPr>
          </a:pPr>
          <a:endParaRPr lang="en-US"/>
        </a:p>
      </c:txPr>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c:printSettings>
</c:chartSpace>
</file>

<file path=xl/ctrlProps/ctrlProp1.xml><?xml version="1.0" encoding="utf-8"?>
<formControlPr xmlns="http://schemas.microsoft.com/office/spreadsheetml/2009/9/main" objectType="Drop" dropLines="15" dropStyle="combo" dx="22" fmlaLink="StateChoice" fmlaRange="StateList" noThreeD="1" sel="15" val="0"/>
</file>

<file path=xl/ctrlProps/ctrlProp2.xml><?xml version="1.0" encoding="utf-8"?>
<formControlPr xmlns="http://schemas.microsoft.com/office/spreadsheetml/2009/9/main" objectType="Spin" dx="26" fmlaLink="$K$42" max="2025" min="1990" page="10" val="2020"/>
</file>

<file path=xl/ctrlProps/ctrlProp3.xml><?xml version="1.0" encoding="utf-8"?>
<formControlPr xmlns="http://schemas.microsoft.com/office/spreadsheetml/2009/9/main" objectType="Spin" dx="26" fmlaLink="$J$26" max="2025" min="1990" page="10" val="2020"/>
</file>

<file path=xl/drawings/_rels/drawing1.xml.rels><?xml version="1.0" encoding="UTF-8" standalone="yes"?>
<Relationships xmlns="http://schemas.openxmlformats.org/package/2006/relationships"><Relationship Id="rId1" Type="http://schemas.openxmlformats.org/officeDocument/2006/relationships/hyperlink" Target="https://www.epa.gov/statelocalenergy/download-state-inventory-and-projection-tool" TargetMode="External"/></Relationships>
</file>

<file path=xl/drawings/_rels/drawing10.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chart" Target="../charts/chart31.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36.xml"/><Relationship Id="rId1"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6" Type="http://schemas.openxmlformats.org/officeDocument/2006/relationships/chart" Target="../charts/chart10.xml"/><Relationship Id="rId5" Type="http://schemas.openxmlformats.org/officeDocument/2006/relationships/chart" Target="../charts/chart9.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 Id="rId4"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chart" Target="../charts/chart18.xml"/><Relationship Id="rId1" Type="http://schemas.openxmlformats.org/officeDocument/2006/relationships/chart" Target="../charts/chart1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107950</xdr:colOff>
          <xdr:row>6</xdr:row>
          <xdr:rowOff>0</xdr:rowOff>
        </xdr:from>
        <xdr:to>
          <xdr:col>4</xdr:col>
          <xdr:colOff>565150</xdr:colOff>
          <xdr:row>7</xdr:row>
          <xdr:rowOff>19050</xdr:rowOff>
        </xdr:to>
        <xdr:sp macro="" textlink="">
          <xdr:nvSpPr>
            <xdr:cNvPr id="10241" name="Drop Down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14</xdr:row>
          <xdr:rowOff>31750</xdr:rowOff>
        </xdr:from>
        <xdr:to>
          <xdr:col>5</xdr:col>
          <xdr:colOff>742950</xdr:colOff>
          <xdr:row>14</xdr:row>
          <xdr:rowOff>298450</xdr:rowOff>
        </xdr:to>
        <xdr:sp macro="" textlink="">
          <xdr:nvSpPr>
            <xdr:cNvPr id="10242" name="cmdCoal" hidden="1">
              <a:extLst>
                <a:ext uri="{63B3BB69-23CF-44E3-9099-C40C66FF867C}">
                  <a14:compatExt spid="_x0000_s10242"/>
                </a:ext>
                <a:ext uri="{FF2B5EF4-FFF2-40B4-BE49-F238E27FC236}">
                  <a16:creationId xmlns:a16="http://schemas.microsoft.com/office/drawing/2014/main" id="{00000000-0008-0000-0000-000002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15</xdr:row>
          <xdr:rowOff>31750</xdr:rowOff>
        </xdr:from>
        <xdr:to>
          <xdr:col>5</xdr:col>
          <xdr:colOff>755650</xdr:colOff>
          <xdr:row>15</xdr:row>
          <xdr:rowOff>298450</xdr:rowOff>
        </xdr:to>
        <xdr:sp macro="" textlink="">
          <xdr:nvSpPr>
            <xdr:cNvPr id="10243" name="cmdOilGas" hidden="1">
              <a:extLst>
                <a:ext uri="{63B3BB69-23CF-44E3-9099-C40C66FF867C}">
                  <a14:compatExt spid="_x0000_s10243"/>
                </a:ext>
                <a:ext uri="{FF2B5EF4-FFF2-40B4-BE49-F238E27FC236}">
                  <a16:creationId xmlns:a16="http://schemas.microsoft.com/office/drawing/2014/main" id="{00000000-0008-0000-0000-00000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19</xdr:row>
          <xdr:rowOff>31750</xdr:rowOff>
        </xdr:from>
        <xdr:to>
          <xdr:col>5</xdr:col>
          <xdr:colOff>742950</xdr:colOff>
          <xdr:row>19</xdr:row>
          <xdr:rowOff>298450</xdr:rowOff>
        </xdr:to>
        <xdr:sp macro="" textlink="">
          <xdr:nvSpPr>
            <xdr:cNvPr id="10244" name="cmdWaste" hidden="1">
              <a:extLst>
                <a:ext uri="{63B3BB69-23CF-44E3-9099-C40C66FF867C}">
                  <a14:compatExt spid="_x0000_s10244"/>
                </a:ext>
                <a:ext uri="{FF2B5EF4-FFF2-40B4-BE49-F238E27FC236}">
                  <a16:creationId xmlns:a16="http://schemas.microsoft.com/office/drawing/2014/main" id="{00000000-0008-0000-0000-000004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10</xdr:row>
          <xdr:rowOff>31750</xdr:rowOff>
        </xdr:from>
        <xdr:to>
          <xdr:col>5</xdr:col>
          <xdr:colOff>755650</xdr:colOff>
          <xdr:row>10</xdr:row>
          <xdr:rowOff>298450</xdr:rowOff>
        </xdr:to>
        <xdr:sp macro="" textlink="">
          <xdr:nvSpPr>
            <xdr:cNvPr id="10245" name="cmdCO2FFC" hidden="1">
              <a:extLst>
                <a:ext uri="{63B3BB69-23CF-44E3-9099-C40C66FF867C}">
                  <a14:compatExt spid="_x0000_s10245"/>
                </a:ext>
                <a:ext uri="{FF2B5EF4-FFF2-40B4-BE49-F238E27FC236}">
                  <a16:creationId xmlns:a16="http://schemas.microsoft.com/office/drawing/2014/main" id="{00000000-0008-0000-0000-000005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17</xdr:row>
          <xdr:rowOff>31750</xdr:rowOff>
        </xdr:from>
        <xdr:to>
          <xdr:col>5</xdr:col>
          <xdr:colOff>742950</xdr:colOff>
          <xdr:row>17</xdr:row>
          <xdr:rowOff>298450</xdr:rowOff>
        </xdr:to>
        <xdr:sp macro="" textlink="">
          <xdr:nvSpPr>
            <xdr:cNvPr id="10246" name="cmdAg" hidden="1">
              <a:extLst>
                <a:ext uri="{63B3BB69-23CF-44E3-9099-C40C66FF867C}">
                  <a14:compatExt spid="_x0000_s10246"/>
                </a:ext>
                <a:ext uri="{FF2B5EF4-FFF2-40B4-BE49-F238E27FC236}">
                  <a16:creationId xmlns:a16="http://schemas.microsoft.com/office/drawing/2014/main" id="{00000000-0008-0000-0000-000006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20</xdr:row>
          <xdr:rowOff>31750</xdr:rowOff>
        </xdr:from>
        <xdr:to>
          <xdr:col>5</xdr:col>
          <xdr:colOff>742950</xdr:colOff>
          <xdr:row>20</xdr:row>
          <xdr:rowOff>298450</xdr:rowOff>
        </xdr:to>
        <xdr:sp macro="" textlink="">
          <xdr:nvSpPr>
            <xdr:cNvPr id="10247" name="cmdWW" hidden="1">
              <a:extLst>
                <a:ext uri="{63B3BB69-23CF-44E3-9099-C40C66FF867C}">
                  <a14:compatExt spid="_x0000_s10247"/>
                </a:ext>
                <a:ext uri="{FF2B5EF4-FFF2-40B4-BE49-F238E27FC236}">
                  <a16:creationId xmlns:a16="http://schemas.microsoft.com/office/drawing/2014/main" id="{00000000-0008-0000-0000-00000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16</xdr:row>
          <xdr:rowOff>31750</xdr:rowOff>
        </xdr:from>
        <xdr:to>
          <xdr:col>5</xdr:col>
          <xdr:colOff>742950</xdr:colOff>
          <xdr:row>16</xdr:row>
          <xdr:rowOff>298450</xdr:rowOff>
        </xdr:to>
        <xdr:sp macro="" textlink="">
          <xdr:nvSpPr>
            <xdr:cNvPr id="10248" name="cmdIP" hidden="1">
              <a:extLst>
                <a:ext uri="{63B3BB69-23CF-44E3-9099-C40C66FF867C}">
                  <a14:compatExt spid="_x0000_s10248"/>
                </a:ext>
                <a:ext uri="{FF2B5EF4-FFF2-40B4-BE49-F238E27FC236}">
                  <a16:creationId xmlns:a16="http://schemas.microsoft.com/office/drawing/2014/main" id="{00000000-0008-0000-0000-000008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12</xdr:row>
          <xdr:rowOff>31750</xdr:rowOff>
        </xdr:from>
        <xdr:to>
          <xdr:col>5</xdr:col>
          <xdr:colOff>755650</xdr:colOff>
          <xdr:row>12</xdr:row>
          <xdr:rowOff>298450</xdr:rowOff>
        </xdr:to>
        <xdr:sp macro="" textlink="">
          <xdr:nvSpPr>
            <xdr:cNvPr id="10249" name="cmdStat" hidden="1">
              <a:extLst>
                <a:ext uri="{63B3BB69-23CF-44E3-9099-C40C66FF867C}">
                  <a14:compatExt spid="_x0000_s10249"/>
                </a:ext>
                <a:ext uri="{FF2B5EF4-FFF2-40B4-BE49-F238E27FC236}">
                  <a16:creationId xmlns:a16="http://schemas.microsoft.com/office/drawing/2014/main" id="{00000000-0008-0000-0000-000009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13</xdr:row>
          <xdr:rowOff>31750</xdr:rowOff>
        </xdr:from>
        <xdr:to>
          <xdr:col>5</xdr:col>
          <xdr:colOff>755650</xdr:colOff>
          <xdr:row>13</xdr:row>
          <xdr:rowOff>298450</xdr:rowOff>
        </xdr:to>
        <xdr:sp macro="" textlink="">
          <xdr:nvSpPr>
            <xdr:cNvPr id="10250" name="cmdMobile" hidden="1">
              <a:extLst>
                <a:ext uri="{63B3BB69-23CF-44E3-9099-C40C66FF867C}">
                  <a14:compatExt spid="_x0000_s10250"/>
                </a:ext>
                <a:ext uri="{FF2B5EF4-FFF2-40B4-BE49-F238E27FC236}">
                  <a16:creationId xmlns:a16="http://schemas.microsoft.com/office/drawing/2014/main" id="{00000000-0008-0000-0000-00000A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38100</xdr:colOff>
      <xdr:row>10</xdr:row>
      <xdr:rowOff>28575</xdr:rowOff>
    </xdr:from>
    <xdr:to>
      <xdr:col>8</xdr:col>
      <xdr:colOff>561368</xdr:colOff>
      <xdr:row>10</xdr:row>
      <xdr:rowOff>285750</xdr:rowOff>
    </xdr:to>
    <xdr:sp macro="[0]!GotoCO2FFC" textlink="">
      <xdr:nvSpPr>
        <xdr:cNvPr id="10251" name="AutoShape 11">
          <a:extLst>
            <a:ext uri="{FF2B5EF4-FFF2-40B4-BE49-F238E27FC236}">
              <a16:creationId xmlns:a16="http://schemas.microsoft.com/office/drawing/2014/main" id="{00000000-0008-0000-0000-00000B280000}"/>
            </a:ext>
          </a:extLst>
        </xdr:cNvPr>
        <xdr:cNvSpPr>
          <a:spLocks noChangeArrowheads="1"/>
        </xdr:cNvSpPr>
      </xdr:nvSpPr>
      <xdr:spPr bwMode="auto">
        <a:xfrm>
          <a:off x="7172325" y="26098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12</xdr:row>
      <xdr:rowOff>28575</xdr:rowOff>
    </xdr:from>
    <xdr:to>
      <xdr:col>8</xdr:col>
      <xdr:colOff>561368</xdr:colOff>
      <xdr:row>12</xdr:row>
      <xdr:rowOff>285750</xdr:rowOff>
    </xdr:to>
    <xdr:sp macro="[0]!GotoStationary" textlink="">
      <xdr:nvSpPr>
        <xdr:cNvPr id="10252" name="AutoShape 12">
          <a:extLst>
            <a:ext uri="{FF2B5EF4-FFF2-40B4-BE49-F238E27FC236}">
              <a16:creationId xmlns:a16="http://schemas.microsoft.com/office/drawing/2014/main" id="{00000000-0008-0000-0000-00000C280000}"/>
            </a:ext>
          </a:extLst>
        </xdr:cNvPr>
        <xdr:cNvSpPr>
          <a:spLocks noChangeArrowheads="1"/>
        </xdr:cNvSpPr>
      </xdr:nvSpPr>
      <xdr:spPr bwMode="auto">
        <a:xfrm>
          <a:off x="7172325" y="32194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13</xdr:row>
      <xdr:rowOff>28575</xdr:rowOff>
    </xdr:from>
    <xdr:to>
      <xdr:col>8</xdr:col>
      <xdr:colOff>561368</xdr:colOff>
      <xdr:row>13</xdr:row>
      <xdr:rowOff>285750</xdr:rowOff>
    </xdr:to>
    <xdr:sp macro="[0]!GotoMobile" textlink="">
      <xdr:nvSpPr>
        <xdr:cNvPr id="10253" name="AutoShape 13">
          <a:extLst>
            <a:ext uri="{FF2B5EF4-FFF2-40B4-BE49-F238E27FC236}">
              <a16:creationId xmlns:a16="http://schemas.microsoft.com/office/drawing/2014/main" id="{00000000-0008-0000-0000-00000D280000}"/>
            </a:ext>
          </a:extLst>
        </xdr:cNvPr>
        <xdr:cNvSpPr>
          <a:spLocks noChangeArrowheads="1"/>
        </xdr:cNvSpPr>
      </xdr:nvSpPr>
      <xdr:spPr bwMode="auto">
        <a:xfrm>
          <a:off x="7172325" y="35242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14</xdr:row>
      <xdr:rowOff>28575</xdr:rowOff>
    </xdr:from>
    <xdr:to>
      <xdr:col>8</xdr:col>
      <xdr:colOff>561368</xdr:colOff>
      <xdr:row>14</xdr:row>
      <xdr:rowOff>285750</xdr:rowOff>
    </xdr:to>
    <xdr:sp macro="[0]!GotoCoal" textlink="">
      <xdr:nvSpPr>
        <xdr:cNvPr id="10254" name="AutoShape 14">
          <a:extLst>
            <a:ext uri="{FF2B5EF4-FFF2-40B4-BE49-F238E27FC236}">
              <a16:creationId xmlns:a16="http://schemas.microsoft.com/office/drawing/2014/main" id="{00000000-0008-0000-0000-00000E280000}"/>
            </a:ext>
          </a:extLst>
        </xdr:cNvPr>
        <xdr:cNvSpPr>
          <a:spLocks noChangeArrowheads="1"/>
        </xdr:cNvSpPr>
      </xdr:nvSpPr>
      <xdr:spPr bwMode="auto">
        <a:xfrm>
          <a:off x="7172325" y="38290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15</xdr:row>
      <xdr:rowOff>28575</xdr:rowOff>
    </xdr:from>
    <xdr:to>
      <xdr:col>8</xdr:col>
      <xdr:colOff>561368</xdr:colOff>
      <xdr:row>15</xdr:row>
      <xdr:rowOff>285750</xdr:rowOff>
    </xdr:to>
    <xdr:sp macro="[0]!GotoOilGas" textlink="">
      <xdr:nvSpPr>
        <xdr:cNvPr id="10255" name="AutoShape 15">
          <a:extLst>
            <a:ext uri="{FF2B5EF4-FFF2-40B4-BE49-F238E27FC236}">
              <a16:creationId xmlns:a16="http://schemas.microsoft.com/office/drawing/2014/main" id="{00000000-0008-0000-0000-00000F280000}"/>
            </a:ext>
          </a:extLst>
        </xdr:cNvPr>
        <xdr:cNvSpPr>
          <a:spLocks noChangeArrowheads="1"/>
        </xdr:cNvSpPr>
      </xdr:nvSpPr>
      <xdr:spPr bwMode="auto">
        <a:xfrm>
          <a:off x="7172325" y="41338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16</xdr:row>
      <xdr:rowOff>28575</xdr:rowOff>
    </xdr:from>
    <xdr:to>
      <xdr:col>8</xdr:col>
      <xdr:colOff>561368</xdr:colOff>
      <xdr:row>16</xdr:row>
      <xdr:rowOff>285750</xdr:rowOff>
    </xdr:to>
    <xdr:sp macro="[0]!GotoIP" textlink="">
      <xdr:nvSpPr>
        <xdr:cNvPr id="10256" name="AutoShape 16">
          <a:extLst>
            <a:ext uri="{FF2B5EF4-FFF2-40B4-BE49-F238E27FC236}">
              <a16:creationId xmlns:a16="http://schemas.microsoft.com/office/drawing/2014/main" id="{00000000-0008-0000-0000-000010280000}"/>
            </a:ext>
          </a:extLst>
        </xdr:cNvPr>
        <xdr:cNvSpPr>
          <a:spLocks noChangeArrowheads="1"/>
        </xdr:cNvSpPr>
      </xdr:nvSpPr>
      <xdr:spPr bwMode="auto">
        <a:xfrm>
          <a:off x="7172325" y="44386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17</xdr:row>
      <xdr:rowOff>28575</xdr:rowOff>
    </xdr:from>
    <xdr:to>
      <xdr:col>8</xdr:col>
      <xdr:colOff>561368</xdr:colOff>
      <xdr:row>17</xdr:row>
      <xdr:rowOff>285750</xdr:rowOff>
    </xdr:to>
    <xdr:sp macro="[0]!GotoAg" textlink="">
      <xdr:nvSpPr>
        <xdr:cNvPr id="10257" name="AutoShape 17">
          <a:extLst>
            <a:ext uri="{FF2B5EF4-FFF2-40B4-BE49-F238E27FC236}">
              <a16:creationId xmlns:a16="http://schemas.microsoft.com/office/drawing/2014/main" id="{00000000-0008-0000-0000-000011280000}"/>
            </a:ext>
          </a:extLst>
        </xdr:cNvPr>
        <xdr:cNvSpPr>
          <a:spLocks noChangeArrowheads="1"/>
        </xdr:cNvSpPr>
      </xdr:nvSpPr>
      <xdr:spPr bwMode="auto">
        <a:xfrm>
          <a:off x="7172325" y="47434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19</xdr:row>
      <xdr:rowOff>28575</xdr:rowOff>
    </xdr:from>
    <xdr:to>
      <xdr:col>8</xdr:col>
      <xdr:colOff>561368</xdr:colOff>
      <xdr:row>19</xdr:row>
      <xdr:rowOff>285750</xdr:rowOff>
    </xdr:to>
    <xdr:sp macro="[0]!GotoWaste" textlink="">
      <xdr:nvSpPr>
        <xdr:cNvPr id="10258" name="AutoShape 18">
          <a:extLst>
            <a:ext uri="{FF2B5EF4-FFF2-40B4-BE49-F238E27FC236}">
              <a16:creationId xmlns:a16="http://schemas.microsoft.com/office/drawing/2014/main" id="{00000000-0008-0000-0000-000012280000}"/>
            </a:ext>
          </a:extLst>
        </xdr:cNvPr>
        <xdr:cNvSpPr>
          <a:spLocks noChangeArrowheads="1"/>
        </xdr:cNvSpPr>
      </xdr:nvSpPr>
      <xdr:spPr bwMode="auto">
        <a:xfrm>
          <a:off x="7172325" y="53530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7</xdr:col>
      <xdr:colOff>38100</xdr:colOff>
      <xdr:row>20</xdr:row>
      <xdr:rowOff>28575</xdr:rowOff>
    </xdr:from>
    <xdr:to>
      <xdr:col>8</xdr:col>
      <xdr:colOff>561368</xdr:colOff>
      <xdr:row>20</xdr:row>
      <xdr:rowOff>285750</xdr:rowOff>
    </xdr:to>
    <xdr:sp macro="[0]!GotoWW" textlink="">
      <xdr:nvSpPr>
        <xdr:cNvPr id="10259" name="AutoShape 19">
          <a:extLst>
            <a:ext uri="{FF2B5EF4-FFF2-40B4-BE49-F238E27FC236}">
              <a16:creationId xmlns:a16="http://schemas.microsoft.com/office/drawing/2014/main" id="{00000000-0008-0000-0000-000013280000}"/>
            </a:ext>
          </a:extLst>
        </xdr:cNvPr>
        <xdr:cNvSpPr>
          <a:spLocks noChangeArrowheads="1"/>
        </xdr:cNvSpPr>
      </xdr:nvSpPr>
      <xdr:spPr bwMode="auto">
        <a:xfrm>
          <a:off x="7172325" y="56578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twoCellAnchor>
    <xdr:from>
      <xdr:col>2</xdr:col>
      <xdr:colOff>1511300</xdr:colOff>
      <xdr:row>23</xdr:row>
      <xdr:rowOff>200025</xdr:rowOff>
    </xdr:from>
    <xdr:to>
      <xdr:col>3</xdr:col>
      <xdr:colOff>488291</xdr:colOff>
      <xdr:row>24</xdr:row>
      <xdr:rowOff>398815</xdr:rowOff>
    </xdr:to>
    <xdr:sp macro="[0]!GotoSummGas" textlink="">
      <xdr:nvSpPr>
        <xdr:cNvPr id="10260" name="AutoShape 20">
          <a:extLst>
            <a:ext uri="{FF2B5EF4-FFF2-40B4-BE49-F238E27FC236}">
              <a16:creationId xmlns:a16="http://schemas.microsoft.com/office/drawing/2014/main" id="{00000000-0008-0000-0000-000014280000}"/>
            </a:ext>
          </a:extLst>
        </xdr:cNvPr>
        <xdr:cNvSpPr>
          <a:spLocks noChangeArrowheads="1"/>
        </xdr:cNvSpPr>
      </xdr:nvSpPr>
      <xdr:spPr bwMode="auto">
        <a:xfrm>
          <a:off x="2667000" y="6391275"/>
          <a:ext cx="1266825" cy="438150"/>
        </a:xfrm>
        <a:prstGeom prst="homePlate">
          <a:avLst>
            <a:gd name="adj" fmla="val 72283"/>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Go to Summary by Gas</a:t>
          </a:r>
          <a:endParaRPr lang="en-US"/>
        </a:p>
      </xdr:txBody>
    </xdr:sp>
    <xdr:clientData/>
  </xdr:twoCellAnchor>
  <xdr:twoCellAnchor>
    <xdr:from>
      <xdr:col>2</xdr:col>
      <xdr:colOff>142875</xdr:colOff>
      <xdr:row>23</xdr:row>
      <xdr:rowOff>200025</xdr:rowOff>
    </xdr:from>
    <xdr:to>
      <xdr:col>2</xdr:col>
      <xdr:colOff>1297284</xdr:colOff>
      <xdr:row>24</xdr:row>
      <xdr:rowOff>398815</xdr:rowOff>
    </xdr:to>
    <xdr:sp macro="[0]!GotoSummSector" textlink="">
      <xdr:nvSpPr>
        <xdr:cNvPr id="10261" name="AutoShape 21">
          <a:extLst>
            <a:ext uri="{FF2B5EF4-FFF2-40B4-BE49-F238E27FC236}">
              <a16:creationId xmlns:a16="http://schemas.microsoft.com/office/drawing/2014/main" id="{00000000-0008-0000-0000-000015280000}"/>
            </a:ext>
          </a:extLst>
        </xdr:cNvPr>
        <xdr:cNvSpPr>
          <a:spLocks noChangeArrowheads="1"/>
        </xdr:cNvSpPr>
      </xdr:nvSpPr>
      <xdr:spPr bwMode="auto">
        <a:xfrm>
          <a:off x="1362075" y="6391275"/>
          <a:ext cx="1104900" cy="438150"/>
        </a:xfrm>
        <a:prstGeom prst="homePlate">
          <a:avLst>
            <a:gd name="adj" fmla="val 63043"/>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Sector</a:t>
          </a:r>
          <a:endParaRPr lang="en-US"/>
        </a:p>
      </xdr:txBody>
    </xdr:sp>
    <xdr:clientData/>
  </xdr:twoCellAnchor>
  <mc:AlternateContent xmlns:mc="http://schemas.openxmlformats.org/markup-compatibility/2006">
    <mc:Choice xmlns:a14="http://schemas.microsoft.com/office/drawing/2010/main" Requires="a14">
      <xdr:twoCellAnchor editAs="oneCell">
        <xdr:from>
          <xdr:col>7</xdr:col>
          <xdr:colOff>19050</xdr:colOff>
          <xdr:row>6</xdr:row>
          <xdr:rowOff>0</xdr:rowOff>
        </xdr:from>
        <xdr:to>
          <xdr:col>8</xdr:col>
          <xdr:colOff>584200</xdr:colOff>
          <xdr:row>7</xdr:row>
          <xdr:rowOff>69850</xdr:rowOff>
        </xdr:to>
        <xdr:sp macro="" textlink="">
          <xdr:nvSpPr>
            <xdr:cNvPr id="10263" name="btnReset" hidden="1">
              <a:extLst>
                <a:ext uri="{63B3BB69-23CF-44E3-9099-C40C66FF867C}">
                  <a14:compatExt spid="_x0000_s10263"/>
                </a:ext>
                <a:ext uri="{FF2B5EF4-FFF2-40B4-BE49-F238E27FC236}">
                  <a16:creationId xmlns:a16="http://schemas.microsoft.com/office/drawing/2014/main" id="{00000000-0008-0000-0000-000017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38100</xdr:colOff>
      <xdr:row>18</xdr:row>
      <xdr:rowOff>28575</xdr:rowOff>
    </xdr:from>
    <xdr:to>
      <xdr:col>8</xdr:col>
      <xdr:colOff>561368</xdr:colOff>
      <xdr:row>18</xdr:row>
      <xdr:rowOff>302895</xdr:rowOff>
    </xdr:to>
    <xdr:sp macro="[0]!GotoLUCF" textlink="">
      <xdr:nvSpPr>
        <xdr:cNvPr id="10269" name="AutoShape 29">
          <a:extLst>
            <a:ext uri="{FF2B5EF4-FFF2-40B4-BE49-F238E27FC236}">
              <a16:creationId xmlns:a16="http://schemas.microsoft.com/office/drawing/2014/main" id="{00000000-0008-0000-0000-00001D280000}"/>
            </a:ext>
          </a:extLst>
        </xdr:cNvPr>
        <xdr:cNvSpPr>
          <a:spLocks noChangeArrowheads="1"/>
        </xdr:cNvSpPr>
      </xdr:nvSpPr>
      <xdr:spPr bwMode="auto">
        <a:xfrm>
          <a:off x="7172325" y="5048250"/>
          <a:ext cx="1104900" cy="276225"/>
        </a:xfrm>
        <a:prstGeom prst="homePlate">
          <a:avLst>
            <a:gd name="adj" fmla="val 100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mc:AlternateContent xmlns:mc="http://schemas.openxmlformats.org/markup-compatibility/2006">
    <mc:Choice xmlns:a14="http://schemas.microsoft.com/office/drawing/2010/main" Requires="a14">
      <xdr:twoCellAnchor editAs="oneCell">
        <xdr:from>
          <xdr:col>3</xdr:col>
          <xdr:colOff>31750</xdr:colOff>
          <xdr:row>18</xdr:row>
          <xdr:rowOff>31750</xdr:rowOff>
        </xdr:from>
        <xdr:to>
          <xdr:col>5</xdr:col>
          <xdr:colOff>742950</xdr:colOff>
          <xdr:row>18</xdr:row>
          <xdr:rowOff>298450</xdr:rowOff>
        </xdr:to>
        <xdr:sp macro="" textlink="">
          <xdr:nvSpPr>
            <xdr:cNvPr id="10270" name="cmdLUCF" hidden="1">
              <a:extLst>
                <a:ext uri="{63B3BB69-23CF-44E3-9099-C40C66FF867C}">
                  <a14:compatExt spid="_x0000_s10270"/>
                </a:ext>
                <a:ext uri="{FF2B5EF4-FFF2-40B4-BE49-F238E27FC236}">
                  <a16:creationId xmlns:a16="http://schemas.microsoft.com/office/drawing/2014/main" id="{00000000-0008-0000-0000-00001E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3</xdr:col>
      <xdr:colOff>602615</xdr:colOff>
      <xdr:row>23</xdr:row>
      <xdr:rowOff>201930</xdr:rowOff>
    </xdr:from>
    <xdr:to>
      <xdr:col>5</xdr:col>
      <xdr:colOff>204481</xdr:colOff>
      <xdr:row>24</xdr:row>
      <xdr:rowOff>409608</xdr:rowOff>
    </xdr:to>
    <xdr:sp macro="[0]!GotoIntensity" textlink="">
      <xdr:nvSpPr>
        <xdr:cNvPr id="10271" name="AutoShape 31">
          <a:extLst>
            <a:ext uri="{FF2B5EF4-FFF2-40B4-BE49-F238E27FC236}">
              <a16:creationId xmlns:a16="http://schemas.microsoft.com/office/drawing/2014/main" id="{00000000-0008-0000-0000-00001F280000}"/>
            </a:ext>
          </a:extLst>
        </xdr:cNvPr>
        <xdr:cNvSpPr>
          <a:spLocks noChangeArrowheads="1"/>
        </xdr:cNvSpPr>
      </xdr:nvSpPr>
      <xdr:spPr bwMode="auto">
        <a:xfrm>
          <a:off x="4048125" y="6400800"/>
          <a:ext cx="1228725" cy="438150"/>
        </a:xfrm>
        <a:prstGeom prst="homePlate">
          <a:avLst>
            <a:gd name="adj" fmla="val 70109"/>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Intensity</a:t>
          </a:r>
          <a:endParaRPr lang="en-US"/>
        </a:p>
      </xdr:txBody>
    </xdr:sp>
    <xdr:clientData/>
  </xdr:twoCellAnchor>
  <xdr:twoCellAnchor>
    <xdr:from>
      <xdr:col>5</xdr:col>
      <xdr:colOff>482600</xdr:colOff>
      <xdr:row>6</xdr:row>
      <xdr:rowOff>11430</xdr:rowOff>
    </xdr:from>
    <xdr:to>
      <xdr:col>6</xdr:col>
      <xdr:colOff>949890</xdr:colOff>
      <xdr:row>7</xdr:row>
      <xdr:rowOff>25400</xdr:rowOff>
    </xdr:to>
    <xdr:sp macro="" textlink="">
      <xdr:nvSpPr>
        <xdr:cNvPr id="10274" name="Rectangle 34">
          <a:hlinkClick xmlns:r="http://schemas.openxmlformats.org/officeDocument/2006/relationships" r:id="rId1"/>
          <a:extLst>
            <a:ext uri="{FF2B5EF4-FFF2-40B4-BE49-F238E27FC236}">
              <a16:creationId xmlns:a16="http://schemas.microsoft.com/office/drawing/2014/main" id="{00000000-0008-0000-0000-000022280000}"/>
            </a:ext>
          </a:extLst>
        </xdr:cNvPr>
        <xdr:cNvSpPr>
          <a:spLocks noChangeArrowheads="1"/>
        </xdr:cNvSpPr>
      </xdr:nvSpPr>
      <xdr:spPr bwMode="auto">
        <a:xfrm>
          <a:off x="5810250" y="1757680"/>
          <a:ext cx="1318190" cy="210820"/>
        </a:xfrm>
        <a:prstGeom prst="rect">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27432" bIns="0" anchor="t" upright="1"/>
        <a:lstStyle/>
        <a:p>
          <a:pPr algn="ctr" rtl="0">
            <a:defRPr sz="1000"/>
          </a:pPr>
          <a:r>
            <a:rPr lang="en-US" sz="800" b="0" i="0" u="none" strike="noStrike" baseline="0">
              <a:solidFill>
                <a:srgbClr val="000000"/>
              </a:solidFill>
              <a:latin typeface="Comic Sans MS"/>
            </a:rPr>
            <a:t>Consult User's Guide</a:t>
          </a:r>
          <a:endParaRPr lang="en-US"/>
        </a:p>
      </xdr:txBody>
    </xdr:sp>
    <xdr:clientData/>
  </xdr:twoCellAnchor>
  <mc:AlternateContent xmlns:mc="http://schemas.openxmlformats.org/markup-compatibility/2006">
    <mc:Choice xmlns:a14="http://schemas.microsoft.com/office/drawing/2010/main" Requires="a14">
      <xdr:twoCellAnchor editAs="oneCell">
        <xdr:from>
          <xdr:col>3</xdr:col>
          <xdr:colOff>31750</xdr:colOff>
          <xdr:row>11</xdr:row>
          <xdr:rowOff>31750</xdr:rowOff>
        </xdr:from>
        <xdr:to>
          <xdr:col>5</xdr:col>
          <xdr:colOff>755650</xdr:colOff>
          <xdr:row>11</xdr:row>
          <xdr:rowOff>298450</xdr:rowOff>
        </xdr:to>
        <xdr:sp macro="" textlink="">
          <xdr:nvSpPr>
            <xdr:cNvPr id="10275" name="cmdIndirectCO2" hidden="1">
              <a:extLst>
                <a:ext uri="{63B3BB69-23CF-44E3-9099-C40C66FF867C}">
                  <a14:compatExt spid="_x0000_s10275"/>
                </a:ext>
                <a:ext uri="{FF2B5EF4-FFF2-40B4-BE49-F238E27FC236}">
                  <a16:creationId xmlns:a16="http://schemas.microsoft.com/office/drawing/2014/main" id="{00000000-0008-0000-0000-000023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7</xdr:col>
      <xdr:colOff>38100</xdr:colOff>
      <xdr:row>11</xdr:row>
      <xdr:rowOff>28575</xdr:rowOff>
    </xdr:from>
    <xdr:to>
      <xdr:col>8</xdr:col>
      <xdr:colOff>561368</xdr:colOff>
      <xdr:row>11</xdr:row>
      <xdr:rowOff>285750</xdr:rowOff>
    </xdr:to>
    <xdr:sp macro="[0]!GotoIndirectCO2" textlink="">
      <xdr:nvSpPr>
        <xdr:cNvPr id="10276" name="AutoShape 36">
          <a:extLst>
            <a:ext uri="{FF2B5EF4-FFF2-40B4-BE49-F238E27FC236}">
              <a16:creationId xmlns:a16="http://schemas.microsoft.com/office/drawing/2014/main" id="{00000000-0008-0000-0000-000024280000}"/>
            </a:ext>
          </a:extLst>
        </xdr:cNvPr>
        <xdr:cNvSpPr>
          <a:spLocks noChangeArrowheads="1"/>
        </xdr:cNvSpPr>
      </xdr:nvSpPr>
      <xdr:spPr bwMode="auto">
        <a:xfrm>
          <a:off x="7172325" y="2914650"/>
          <a:ext cx="1104900" cy="257175"/>
        </a:xfrm>
        <a:prstGeom prst="homePlate">
          <a:avLst>
            <a:gd name="adj" fmla="val 107407"/>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Review Data</a:t>
          </a:r>
          <a:endParaRPr lang="en-US"/>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133350</xdr:colOff>
      <xdr:row>0</xdr:row>
      <xdr:rowOff>85725</xdr:rowOff>
    </xdr:from>
    <xdr:to>
      <xdr:col>10</xdr:col>
      <xdr:colOff>361950</xdr:colOff>
      <xdr:row>0</xdr:row>
      <xdr:rowOff>466725</xdr:rowOff>
    </xdr:to>
    <xdr:sp macro="[0]!Sheet081.ReturnControl081" textlink="">
      <xdr:nvSpPr>
        <xdr:cNvPr id="14337" name="AutoShape 1">
          <a:extLst>
            <a:ext uri="{FF2B5EF4-FFF2-40B4-BE49-F238E27FC236}">
              <a16:creationId xmlns:a16="http://schemas.microsoft.com/office/drawing/2014/main" id="{00000000-0008-0000-0900-000001380000}"/>
            </a:ext>
          </a:extLst>
        </xdr:cNvPr>
        <xdr:cNvSpPr>
          <a:spLocks noChangeArrowheads="1"/>
        </xdr:cNvSpPr>
      </xdr:nvSpPr>
      <xdr:spPr bwMode="auto">
        <a:xfrm flipH="1">
          <a:off x="7277100" y="85725"/>
          <a:ext cx="838200" cy="381000"/>
        </a:xfrm>
        <a:prstGeom prst="homePlate">
          <a:avLst>
            <a:gd name="adj" fmla="val 5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136525</xdr:colOff>
      <xdr:row>55</xdr:row>
      <xdr:rowOff>31750</xdr:rowOff>
    </xdr:from>
    <xdr:to>
      <xdr:col>10</xdr:col>
      <xdr:colOff>479425</xdr:colOff>
      <xdr:row>72</xdr:row>
      <xdr:rowOff>117475</xdr:rowOff>
    </xdr:to>
    <xdr:graphicFrame macro="">
      <xdr:nvGraphicFramePr>
        <xdr:cNvPr id="14573" name="Chart 4">
          <a:extLst>
            <a:ext uri="{FF2B5EF4-FFF2-40B4-BE49-F238E27FC236}">
              <a16:creationId xmlns:a16="http://schemas.microsoft.com/office/drawing/2014/main" id="{00000000-0008-0000-0900-0000ED3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12531</xdr:colOff>
      <xdr:row>55</xdr:row>
      <xdr:rowOff>33902</xdr:rowOff>
    </xdr:from>
    <xdr:to>
      <xdr:col>23</xdr:col>
      <xdr:colOff>179338</xdr:colOff>
      <xdr:row>72</xdr:row>
      <xdr:rowOff>119626</xdr:rowOff>
    </xdr:to>
    <xdr:graphicFrame macro="">
      <xdr:nvGraphicFramePr>
        <xdr:cNvPr id="5" name="Chart 5">
          <a:extLst>
            <a:ext uri="{FF2B5EF4-FFF2-40B4-BE49-F238E27FC236}">
              <a16:creationId xmlns:a16="http://schemas.microsoft.com/office/drawing/2014/main" id="{00000000-0008-0000-09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xdr:row>
      <xdr:rowOff>1</xdr:rowOff>
    </xdr:from>
    <xdr:to>
      <xdr:col>9</xdr:col>
      <xdr:colOff>135558</xdr:colOff>
      <xdr:row>2</xdr:row>
      <xdr:rowOff>9526</xdr:rowOff>
    </xdr:to>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295275" y="609601"/>
          <a:ext cx="7279308" cy="781050"/>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land-use</a:t>
          </a:r>
          <a:r>
            <a:rPr lang="en-US" sz="800" b="0" i="0" baseline="0">
              <a:solidFill>
                <a:schemeClr val="dk1"/>
              </a:solidFill>
              <a:effectLst/>
              <a:latin typeface="Arial" panose="020B0604020202020204" pitchFamily="34" charset="0"/>
              <a:ea typeface="+mn-ea"/>
              <a:cs typeface="Arial" panose="020B0604020202020204" pitchFamily="34" charset="0"/>
            </a:rPr>
            <a:t> change and forest emissions and sequestration</a:t>
          </a:r>
          <a:r>
            <a:rPr lang="en-US" sz="800" b="0" i="0">
              <a:solidFill>
                <a:schemeClr val="dk1"/>
              </a:solidFill>
              <a:effectLst/>
              <a:latin typeface="Arial" panose="020B0604020202020204" pitchFamily="34" charset="0"/>
              <a:ea typeface="+mn-ea"/>
              <a:cs typeface="Arial" panose="020B0604020202020204" pitchFamily="34" charset="0"/>
            </a:rPr>
            <a:t>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577850</xdr:colOff>
      <xdr:row>36</xdr:row>
      <xdr:rowOff>25400</xdr:rowOff>
    </xdr:from>
    <xdr:to>
      <xdr:col>19</xdr:col>
      <xdr:colOff>254000</xdr:colOff>
      <xdr:row>53</xdr:row>
      <xdr:rowOff>139700</xdr:rowOff>
    </xdr:to>
    <xdr:graphicFrame macro="">
      <xdr:nvGraphicFramePr>
        <xdr:cNvPr id="8525" name="Chart 1">
          <a:extLst>
            <a:ext uri="{FF2B5EF4-FFF2-40B4-BE49-F238E27FC236}">
              <a16:creationId xmlns:a16="http://schemas.microsoft.com/office/drawing/2014/main" id="{00000000-0008-0000-0A00-00004D2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xdr:colOff>
      <xdr:row>54</xdr:row>
      <xdr:rowOff>95250</xdr:rowOff>
    </xdr:from>
    <xdr:to>
      <xdr:col>14</xdr:col>
      <xdr:colOff>558800</xdr:colOff>
      <xdr:row>74</xdr:row>
      <xdr:rowOff>19050</xdr:rowOff>
    </xdr:to>
    <xdr:graphicFrame macro="">
      <xdr:nvGraphicFramePr>
        <xdr:cNvPr id="8526" name="Chart 2">
          <a:extLst>
            <a:ext uri="{FF2B5EF4-FFF2-40B4-BE49-F238E27FC236}">
              <a16:creationId xmlns:a16="http://schemas.microsoft.com/office/drawing/2014/main" id="{00000000-0008-0000-0A00-00004E2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166370</xdr:colOff>
      <xdr:row>0</xdr:row>
      <xdr:rowOff>123825</xdr:rowOff>
    </xdr:from>
    <xdr:to>
      <xdr:col>6</xdr:col>
      <xdr:colOff>408947</xdr:colOff>
      <xdr:row>0</xdr:row>
      <xdr:rowOff>419100</xdr:rowOff>
    </xdr:to>
    <xdr:sp macro="[0]!Sheet09.ReturnControl09" textlink="">
      <xdr:nvSpPr>
        <xdr:cNvPr id="8195" name="ReturnControl">
          <a:extLst>
            <a:ext uri="{FF2B5EF4-FFF2-40B4-BE49-F238E27FC236}">
              <a16:creationId xmlns:a16="http://schemas.microsoft.com/office/drawing/2014/main" id="{00000000-0008-0000-0A00-000003200000}"/>
            </a:ext>
          </a:extLst>
        </xdr:cNvPr>
        <xdr:cNvSpPr>
          <a:spLocks noChangeArrowheads="1"/>
        </xdr:cNvSpPr>
      </xdr:nvSpPr>
      <xdr:spPr bwMode="auto">
        <a:xfrm flipH="1">
          <a:off x="4714875" y="123825"/>
          <a:ext cx="1085850" cy="295275"/>
        </a:xfrm>
        <a:prstGeom prst="homePlate">
          <a:avLst>
            <a:gd name="adj" fmla="val 91935"/>
          </a:avLst>
        </a:prstGeom>
        <a:solidFill>
          <a:srgbClr xmlns:mc="http://schemas.openxmlformats.org/markup-compatibility/2006" xmlns:a14="http://schemas.microsoft.com/office/drawing/2010/main" val="C0C0C0" mc:Ignorable="a14" a14:legacySpreadsheetColorIndex="22"/>
        </a:solidFill>
        <a:ln w="317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2860" rIns="27432" bIns="22860" anchor="ctr" upright="1"/>
        <a:lstStyle/>
        <a:p>
          <a:pPr algn="ctr" rtl="0">
            <a:defRPr sz="1000"/>
          </a:pPr>
          <a:r>
            <a:rPr lang="en-US" sz="800" b="0" i="0" u="none" strike="noStrike" baseline="0">
              <a:solidFill>
                <a:srgbClr val="000000"/>
              </a:solidFill>
              <a:latin typeface="Arial"/>
              <a:cs typeface="Arial"/>
            </a:rPr>
            <a:t>Return to the Control Sheet</a:t>
          </a:r>
          <a:endParaRPr lang="en-US"/>
        </a:p>
      </xdr:txBody>
    </xdr:sp>
    <xdr:clientData/>
  </xdr:twoCellAnchor>
  <xdr:twoCellAnchor>
    <xdr:from>
      <xdr:col>1</xdr:col>
      <xdr:colOff>203200</xdr:colOff>
      <xdr:row>36</xdr:row>
      <xdr:rowOff>38100</xdr:rowOff>
    </xdr:from>
    <xdr:to>
      <xdr:col>9</xdr:col>
      <xdr:colOff>279400</xdr:colOff>
      <xdr:row>54</xdr:row>
      <xdr:rowOff>0</xdr:rowOff>
    </xdr:to>
    <xdr:graphicFrame macro="">
      <xdr:nvGraphicFramePr>
        <xdr:cNvPr id="8528" name="Chart 4">
          <a:extLst>
            <a:ext uri="{FF2B5EF4-FFF2-40B4-BE49-F238E27FC236}">
              <a16:creationId xmlns:a16="http://schemas.microsoft.com/office/drawing/2014/main" id="{00000000-0008-0000-0A00-0000502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247649</xdr:colOff>
      <xdr:row>1</xdr:row>
      <xdr:rowOff>2</xdr:rowOff>
    </xdr:from>
    <xdr:to>
      <xdr:col>8</xdr:col>
      <xdr:colOff>304799</xdr:colOff>
      <xdr:row>1</xdr:row>
      <xdr:rowOff>771526</xdr:rowOff>
    </xdr:to>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247649" y="552452"/>
          <a:ext cx="7515225" cy="771524"/>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solid waste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450850</xdr:colOff>
      <xdr:row>24</xdr:row>
      <xdr:rowOff>114300</xdr:rowOff>
    </xdr:from>
    <xdr:to>
      <xdr:col>25</xdr:col>
      <xdr:colOff>342900</xdr:colOff>
      <xdr:row>42</xdr:row>
      <xdr:rowOff>114300</xdr:rowOff>
    </xdr:to>
    <xdr:graphicFrame macro="">
      <xdr:nvGraphicFramePr>
        <xdr:cNvPr id="2282" name="Chart 1">
          <a:extLst>
            <a:ext uri="{FF2B5EF4-FFF2-40B4-BE49-F238E27FC236}">
              <a16:creationId xmlns:a16="http://schemas.microsoft.com/office/drawing/2014/main" id="{00000000-0008-0000-0B00-0000EA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127000</xdr:colOff>
      <xdr:row>24</xdr:row>
      <xdr:rowOff>114300</xdr:rowOff>
    </xdr:from>
    <xdr:to>
      <xdr:col>12</xdr:col>
      <xdr:colOff>298450</xdr:colOff>
      <xdr:row>42</xdr:row>
      <xdr:rowOff>82550</xdr:rowOff>
    </xdr:to>
    <xdr:graphicFrame macro="">
      <xdr:nvGraphicFramePr>
        <xdr:cNvPr id="2283" name="Chart 2">
          <a:extLst>
            <a:ext uri="{FF2B5EF4-FFF2-40B4-BE49-F238E27FC236}">
              <a16:creationId xmlns:a16="http://schemas.microsoft.com/office/drawing/2014/main" id="{00000000-0008-0000-0B00-0000EB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209550</xdr:colOff>
      <xdr:row>0</xdr:row>
      <xdr:rowOff>104775</xdr:rowOff>
    </xdr:from>
    <xdr:to>
      <xdr:col>10</xdr:col>
      <xdr:colOff>95250</xdr:colOff>
      <xdr:row>0</xdr:row>
      <xdr:rowOff>428625</xdr:rowOff>
    </xdr:to>
    <xdr:sp macro="[0]!Sheet10.ReturnControl10" textlink="">
      <xdr:nvSpPr>
        <xdr:cNvPr id="2052" name="AutoShape 4">
          <a:extLst>
            <a:ext uri="{FF2B5EF4-FFF2-40B4-BE49-F238E27FC236}">
              <a16:creationId xmlns:a16="http://schemas.microsoft.com/office/drawing/2014/main" id="{00000000-0008-0000-0B00-000004080000}"/>
            </a:ext>
          </a:extLst>
        </xdr:cNvPr>
        <xdr:cNvSpPr>
          <a:spLocks noChangeArrowheads="1"/>
        </xdr:cNvSpPr>
      </xdr:nvSpPr>
      <xdr:spPr bwMode="auto">
        <a:xfrm flipH="1">
          <a:off x="5638800" y="104775"/>
          <a:ext cx="1104900" cy="323850"/>
        </a:xfrm>
        <a:prstGeom prst="homePlate">
          <a:avLst>
            <a:gd name="adj" fmla="val 85294"/>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0</xdr:colOff>
      <xdr:row>1</xdr:row>
      <xdr:rowOff>1</xdr:rowOff>
    </xdr:from>
    <xdr:to>
      <xdr:col>8</xdr:col>
      <xdr:colOff>311150</xdr:colOff>
      <xdr:row>2</xdr:row>
      <xdr:rowOff>692151</xdr:rowOff>
    </xdr:to>
    <xdr:sp macro="" textlink="">
      <xdr:nvSpPr>
        <xdr:cNvPr id="5" name="TextBox 4">
          <a:extLst>
            <a:ext uri="{FF2B5EF4-FFF2-40B4-BE49-F238E27FC236}">
              <a16:creationId xmlns:a16="http://schemas.microsoft.com/office/drawing/2014/main" id="{00000000-0008-0000-0B00-000005000000}"/>
            </a:ext>
          </a:extLst>
        </xdr:cNvPr>
        <xdr:cNvSpPr txBox="1"/>
      </xdr:nvSpPr>
      <xdr:spPr>
        <a:xfrm>
          <a:off x="222250" y="495301"/>
          <a:ext cx="6045200" cy="850900"/>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wastewater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209550</xdr:colOff>
      <xdr:row>63</xdr:row>
      <xdr:rowOff>165100</xdr:rowOff>
    </xdr:from>
    <xdr:to>
      <xdr:col>17</xdr:col>
      <xdr:colOff>539750</xdr:colOff>
      <xdr:row>79</xdr:row>
      <xdr:rowOff>19050</xdr:rowOff>
    </xdr:to>
    <xdr:graphicFrame macro="">
      <xdr:nvGraphicFramePr>
        <xdr:cNvPr id="13943" name="Chart 1">
          <a:extLst>
            <a:ext uri="{FF2B5EF4-FFF2-40B4-BE49-F238E27FC236}">
              <a16:creationId xmlns:a16="http://schemas.microsoft.com/office/drawing/2014/main" id="{00000000-0008-0000-0C00-0000773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137795</xdr:colOff>
      <xdr:row>0</xdr:row>
      <xdr:rowOff>85725</xdr:rowOff>
    </xdr:from>
    <xdr:to>
      <xdr:col>7</xdr:col>
      <xdr:colOff>9524</xdr:colOff>
      <xdr:row>0</xdr:row>
      <xdr:rowOff>466725</xdr:rowOff>
    </xdr:to>
    <xdr:sp macro="[0]!Sheet12.ReturnControl12" textlink="">
      <xdr:nvSpPr>
        <xdr:cNvPr id="13315" name="AutoShape 3">
          <a:extLst>
            <a:ext uri="{FF2B5EF4-FFF2-40B4-BE49-F238E27FC236}">
              <a16:creationId xmlns:a16="http://schemas.microsoft.com/office/drawing/2014/main" id="{00000000-0008-0000-0C00-000003340000}"/>
            </a:ext>
          </a:extLst>
        </xdr:cNvPr>
        <xdr:cNvSpPr>
          <a:spLocks noChangeArrowheads="1"/>
        </xdr:cNvSpPr>
      </xdr:nvSpPr>
      <xdr:spPr bwMode="auto">
        <a:xfrm flipH="1">
          <a:off x="4962525" y="85725"/>
          <a:ext cx="1295400" cy="381000"/>
        </a:xfrm>
        <a:prstGeom prst="homePlate">
          <a:avLst>
            <a:gd name="adj" fmla="val 850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7</xdr:col>
      <xdr:colOff>99695</xdr:colOff>
      <xdr:row>0</xdr:row>
      <xdr:rowOff>85725</xdr:rowOff>
    </xdr:from>
    <xdr:to>
      <xdr:col>8</xdr:col>
      <xdr:colOff>608931</xdr:colOff>
      <xdr:row>0</xdr:row>
      <xdr:rowOff>466725</xdr:rowOff>
    </xdr:to>
    <xdr:sp macro="[0]!GotoSummSector" textlink="">
      <xdr:nvSpPr>
        <xdr:cNvPr id="13316" name="AutoShape 4">
          <a:extLst>
            <a:ext uri="{FF2B5EF4-FFF2-40B4-BE49-F238E27FC236}">
              <a16:creationId xmlns:a16="http://schemas.microsoft.com/office/drawing/2014/main" id="{00000000-0008-0000-0C00-000004340000}"/>
            </a:ext>
          </a:extLst>
        </xdr:cNvPr>
        <xdr:cNvSpPr>
          <a:spLocks noChangeArrowheads="1"/>
        </xdr:cNvSpPr>
      </xdr:nvSpPr>
      <xdr:spPr bwMode="auto">
        <a:xfrm flipH="1">
          <a:off x="6334125" y="85725"/>
          <a:ext cx="1190625" cy="381000"/>
        </a:xfrm>
        <a:prstGeom prst="homePlate">
          <a:avLst>
            <a:gd name="adj" fmla="val 78125"/>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Sector</a:t>
          </a:r>
          <a:endParaRPr lang="en-US"/>
        </a:p>
      </xdr:txBody>
    </xdr:sp>
    <xdr:clientData/>
  </xdr:twoCellAnchor>
  <xdr:twoCellAnchor>
    <xdr:from>
      <xdr:col>6</xdr:col>
      <xdr:colOff>215900</xdr:colOff>
      <xdr:row>79</xdr:row>
      <xdr:rowOff>171450</xdr:rowOff>
    </xdr:from>
    <xdr:to>
      <xdr:col>17</xdr:col>
      <xdr:colOff>552450</xdr:colOff>
      <xdr:row>96</xdr:row>
      <xdr:rowOff>57150</xdr:rowOff>
    </xdr:to>
    <xdr:graphicFrame macro="">
      <xdr:nvGraphicFramePr>
        <xdr:cNvPr id="13947" name="Chart 6">
          <a:extLst>
            <a:ext uri="{FF2B5EF4-FFF2-40B4-BE49-F238E27FC236}">
              <a16:creationId xmlns:a16="http://schemas.microsoft.com/office/drawing/2014/main" id="{00000000-0008-0000-0C00-00007B3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6</xdr:col>
      <xdr:colOff>196850</xdr:colOff>
      <xdr:row>97</xdr:row>
      <xdr:rowOff>12700</xdr:rowOff>
    </xdr:from>
    <xdr:to>
      <xdr:col>17</xdr:col>
      <xdr:colOff>527050</xdr:colOff>
      <xdr:row>122</xdr:row>
      <xdr:rowOff>44450</xdr:rowOff>
    </xdr:to>
    <xdr:graphicFrame macro="">
      <xdr:nvGraphicFramePr>
        <xdr:cNvPr id="13948" name="Chart 7">
          <a:extLst>
            <a:ext uri="{FF2B5EF4-FFF2-40B4-BE49-F238E27FC236}">
              <a16:creationId xmlns:a16="http://schemas.microsoft.com/office/drawing/2014/main" id="{00000000-0008-0000-0C00-00007C3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xdr:twoCellAnchor>
    <xdr:from>
      <xdr:col>9</xdr:col>
      <xdr:colOff>38100</xdr:colOff>
      <xdr:row>0</xdr:row>
      <xdr:rowOff>38100</xdr:rowOff>
    </xdr:from>
    <xdr:to>
      <xdr:col>10</xdr:col>
      <xdr:colOff>456585</xdr:colOff>
      <xdr:row>0</xdr:row>
      <xdr:rowOff>476250</xdr:rowOff>
    </xdr:to>
    <xdr:sp macro="[0]!GotoIntensity" textlink="">
      <xdr:nvSpPr>
        <xdr:cNvPr id="13330" name="AutoShape 18">
          <a:extLst>
            <a:ext uri="{FF2B5EF4-FFF2-40B4-BE49-F238E27FC236}">
              <a16:creationId xmlns:a16="http://schemas.microsoft.com/office/drawing/2014/main" id="{00000000-0008-0000-0C00-000012340000}"/>
            </a:ext>
          </a:extLst>
        </xdr:cNvPr>
        <xdr:cNvSpPr>
          <a:spLocks noChangeArrowheads="1"/>
        </xdr:cNvSpPr>
      </xdr:nvSpPr>
      <xdr:spPr bwMode="auto">
        <a:xfrm>
          <a:off x="7696200" y="38100"/>
          <a:ext cx="1104900" cy="438150"/>
        </a:xfrm>
        <a:prstGeom prst="homePlate">
          <a:avLst>
            <a:gd name="adj" fmla="val 63043"/>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Intensity</a:t>
          </a:r>
          <a:endParaRPr lang="en-US"/>
        </a:p>
      </xdr:txBody>
    </xdr:sp>
    <xdr:clientData/>
  </xdr:twoCellAnchor>
  <xdr:twoCellAnchor>
    <xdr:from>
      <xdr:col>6</xdr:col>
      <xdr:colOff>203200</xdr:colOff>
      <xdr:row>122</xdr:row>
      <xdr:rowOff>184150</xdr:rowOff>
    </xdr:from>
    <xdr:to>
      <xdr:col>17</xdr:col>
      <xdr:colOff>539750</xdr:colOff>
      <xdr:row>148</xdr:row>
      <xdr:rowOff>19050</xdr:rowOff>
    </xdr:to>
    <xdr:graphicFrame macro="">
      <xdr:nvGraphicFramePr>
        <xdr:cNvPr id="13950" name="Chart 22">
          <a:extLst>
            <a:ext uri="{FF2B5EF4-FFF2-40B4-BE49-F238E27FC236}">
              <a16:creationId xmlns:a16="http://schemas.microsoft.com/office/drawing/2014/main" id="{00000000-0008-0000-0C00-00007E36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mc:AlternateContent xmlns:mc="http://schemas.openxmlformats.org/markup-compatibility/2006">
    <mc:Choice xmlns:a14="http://schemas.microsoft.com/office/drawing/2010/main" Requires="a14">
      <xdr:twoCellAnchor>
        <xdr:from>
          <xdr:col>11</xdr:col>
          <xdr:colOff>546100</xdr:colOff>
          <xdr:row>41</xdr:row>
          <xdr:rowOff>50800</xdr:rowOff>
        </xdr:from>
        <xdr:to>
          <xdr:col>13</xdr:col>
          <xdr:colOff>146050</xdr:colOff>
          <xdr:row>43</xdr:row>
          <xdr:rowOff>95250</xdr:rowOff>
        </xdr:to>
        <xdr:sp macro="" textlink="">
          <xdr:nvSpPr>
            <xdr:cNvPr id="2" name="Spinner 18" hidden="1">
              <a:extLst>
                <a:ext uri="{63B3BB69-23CF-44E3-9099-C40C66FF867C}">
                  <a14:compatExt spid="_x0000_s13330"/>
                </a:ext>
                <a:ext uri="{FF2B5EF4-FFF2-40B4-BE49-F238E27FC236}">
                  <a16:creationId xmlns:a16="http://schemas.microsoft.com/office/drawing/2014/main" id="{00000000-0008-0000-0C00-0000020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7</xdr:col>
      <xdr:colOff>194733</xdr:colOff>
      <xdr:row>44</xdr:row>
      <xdr:rowOff>76199</xdr:rowOff>
    </xdr:from>
    <xdr:to>
      <xdr:col>15</xdr:col>
      <xdr:colOff>497416</xdr:colOff>
      <xdr:row>63</xdr:row>
      <xdr:rowOff>19049</xdr:rowOff>
    </xdr:to>
    <xdr:graphicFrame macro="">
      <xdr:nvGraphicFramePr>
        <xdr:cNvPr id="12" name="Chart 2">
          <a:extLst>
            <a:ext uri="{FF2B5EF4-FFF2-40B4-BE49-F238E27FC236}">
              <a16:creationId xmlns:a16="http://schemas.microsoft.com/office/drawing/2014/main" id="{00000000-0008-0000-0C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twoCellAnchor>
</xdr:wsDr>
</file>

<file path=xl/drawings/drawing14.xml><?xml version="1.0" encoding="utf-8"?>
<c:userShapes xmlns:c="http://schemas.openxmlformats.org/drawingml/2006/chart">
  <cdr:relSizeAnchor xmlns:cdr="http://schemas.openxmlformats.org/drawingml/2006/chartDrawing">
    <cdr:from>
      <cdr:x>0.00805</cdr:x>
      <cdr:y>0.93293</cdr:y>
    </cdr:from>
    <cdr:to>
      <cdr:x>0.63885</cdr:x>
      <cdr:y>0.99051</cdr:y>
    </cdr:to>
    <cdr:sp macro="" textlink="">
      <cdr:nvSpPr>
        <cdr:cNvPr id="20481" name="Text Box 1"/>
        <cdr:cNvSpPr txBox="1">
          <a:spLocks xmlns:a="http://schemas.openxmlformats.org/drawingml/2006/main" noChangeArrowheads="1"/>
        </cdr:cNvSpPr>
      </cdr:nvSpPr>
      <cdr:spPr bwMode="auto">
        <a:xfrm xmlns:a="http://schemas.openxmlformats.org/drawingml/2006/main">
          <a:off x="64686" y="2905576"/>
          <a:ext cx="5068760" cy="170624"/>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none" lIns="18288" tIns="27432" rIns="0" bIns="0" anchor="t" upright="1">
          <a:spAutoFit/>
        </a:bodyPr>
        <a:lstStyle xmlns:a="http://schemas.openxmlformats.org/drawingml/2006/main"/>
        <a:p xmlns:a="http://schemas.openxmlformats.org/drawingml/2006/main">
          <a:pPr algn="l" rtl="0">
            <a:defRPr sz="1000"/>
          </a:pPr>
          <a:r>
            <a:rPr lang="en-US" sz="800" b="0" i="0" u="none" strike="noStrike" baseline="0">
              <a:solidFill>
                <a:srgbClr val="000000"/>
              </a:solidFill>
              <a:latin typeface="Comic Sans MS"/>
            </a:rPr>
            <a:t>Note: LULUCF values are only displayed for years in which net LULUCF emissions were greater than zero.</a:t>
          </a:r>
          <a:endParaRPr lang="en-US"/>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254000</xdr:colOff>
      <xdr:row>44</xdr:row>
      <xdr:rowOff>165100</xdr:rowOff>
    </xdr:from>
    <xdr:to>
      <xdr:col>16</xdr:col>
      <xdr:colOff>6350</xdr:colOff>
      <xdr:row>62</xdr:row>
      <xdr:rowOff>50800</xdr:rowOff>
    </xdr:to>
    <xdr:graphicFrame macro="">
      <xdr:nvGraphicFramePr>
        <xdr:cNvPr id="12770" name="Chart 1">
          <a:extLst>
            <a:ext uri="{FF2B5EF4-FFF2-40B4-BE49-F238E27FC236}">
              <a16:creationId xmlns:a16="http://schemas.microsoft.com/office/drawing/2014/main" id="{00000000-0008-0000-0D00-0000E23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104775</xdr:colOff>
      <xdr:row>0</xdr:row>
      <xdr:rowOff>66675</xdr:rowOff>
    </xdr:from>
    <xdr:to>
      <xdr:col>6</xdr:col>
      <xdr:colOff>628043</xdr:colOff>
      <xdr:row>0</xdr:row>
      <xdr:rowOff>447675</xdr:rowOff>
    </xdr:to>
    <xdr:sp macro="[0]!Sheet11.ReturnControl11" textlink="">
      <xdr:nvSpPr>
        <xdr:cNvPr id="12292" name="AutoShape 4">
          <a:extLst>
            <a:ext uri="{FF2B5EF4-FFF2-40B4-BE49-F238E27FC236}">
              <a16:creationId xmlns:a16="http://schemas.microsoft.com/office/drawing/2014/main" id="{00000000-0008-0000-0D00-000004300000}"/>
            </a:ext>
          </a:extLst>
        </xdr:cNvPr>
        <xdr:cNvSpPr>
          <a:spLocks noChangeArrowheads="1"/>
        </xdr:cNvSpPr>
      </xdr:nvSpPr>
      <xdr:spPr bwMode="auto">
        <a:xfrm flipH="1">
          <a:off x="4848225" y="66675"/>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7</xdr:col>
      <xdr:colOff>66675</xdr:colOff>
      <xdr:row>0</xdr:row>
      <xdr:rowOff>66675</xdr:rowOff>
    </xdr:from>
    <xdr:to>
      <xdr:col>8</xdr:col>
      <xdr:colOff>589943</xdr:colOff>
      <xdr:row>0</xdr:row>
      <xdr:rowOff>447675</xdr:rowOff>
    </xdr:to>
    <xdr:sp macro="[0]!GotoSummGas" textlink="">
      <xdr:nvSpPr>
        <xdr:cNvPr id="12293" name="AutoShape 5">
          <a:extLst>
            <a:ext uri="{FF2B5EF4-FFF2-40B4-BE49-F238E27FC236}">
              <a16:creationId xmlns:a16="http://schemas.microsoft.com/office/drawing/2014/main" id="{00000000-0008-0000-0D00-000005300000}"/>
            </a:ext>
          </a:extLst>
        </xdr:cNvPr>
        <xdr:cNvSpPr>
          <a:spLocks noChangeArrowheads="1"/>
        </xdr:cNvSpPr>
      </xdr:nvSpPr>
      <xdr:spPr bwMode="auto">
        <a:xfrm>
          <a:off x="6029325" y="66675"/>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Gas</a:t>
          </a:r>
          <a:endParaRPr lang="en-US"/>
        </a:p>
      </xdr:txBody>
    </xdr:sp>
    <xdr:clientData/>
  </xdr:twoCellAnchor>
  <xdr:twoCellAnchor>
    <xdr:from>
      <xdr:col>3</xdr:col>
      <xdr:colOff>254000</xdr:colOff>
      <xdr:row>63</xdr:row>
      <xdr:rowOff>101600</xdr:rowOff>
    </xdr:from>
    <xdr:to>
      <xdr:col>16</xdr:col>
      <xdr:colOff>6350</xdr:colOff>
      <xdr:row>80</xdr:row>
      <xdr:rowOff>57150</xdr:rowOff>
    </xdr:to>
    <xdr:graphicFrame macro="">
      <xdr:nvGraphicFramePr>
        <xdr:cNvPr id="12773" name="Chart 6">
          <a:extLst>
            <a:ext uri="{FF2B5EF4-FFF2-40B4-BE49-F238E27FC236}">
              <a16:creationId xmlns:a16="http://schemas.microsoft.com/office/drawing/2014/main" id="{00000000-0008-0000-0D00-0000E531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9</xdr:col>
      <xdr:colOff>57150</xdr:colOff>
      <xdr:row>0</xdr:row>
      <xdr:rowOff>17780</xdr:rowOff>
    </xdr:from>
    <xdr:to>
      <xdr:col>10</xdr:col>
      <xdr:colOff>528327</xdr:colOff>
      <xdr:row>0</xdr:row>
      <xdr:rowOff>457248</xdr:rowOff>
    </xdr:to>
    <xdr:sp macro="[0]!GotoIntensity" textlink="">
      <xdr:nvSpPr>
        <xdr:cNvPr id="12310" name="AutoShape 22">
          <a:extLst>
            <a:ext uri="{FF2B5EF4-FFF2-40B4-BE49-F238E27FC236}">
              <a16:creationId xmlns:a16="http://schemas.microsoft.com/office/drawing/2014/main" id="{00000000-0008-0000-0D00-000016300000}"/>
            </a:ext>
          </a:extLst>
        </xdr:cNvPr>
        <xdr:cNvSpPr>
          <a:spLocks noChangeArrowheads="1"/>
        </xdr:cNvSpPr>
      </xdr:nvSpPr>
      <xdr:spPr bwMode="auto">
        <a:xfrm>
          <a:off x="7239000" y="19050"/>
          <a:ext cx="1104900" cy="438150"/>
        </a:xfrm>
        <a:prstGeom prst="homePlate">
          <a:avLst>
            <a:gd name="adj" fmla="val 63043"/>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Intensity</a:t>
          </a:r>
          <a:endParaRPr lang="en-US"/>
        </a:p>
      </xdr:txBody>
    </xdr:sp>
    <xdr:clientData/>
  </xdr:twoCellAnchor>
  <xdr:twoCellAnchor>
    <xdr:from>
      <xdr:col>7</xdr:col>
      <xdr:colOff>-1</xdr:colOff>
      <xdr:row>26</xdr:row>
      <xdr:rowOff>62753</xdr:rowOff>
    </xdr:from>
    <xdr:to>
      <xdr:col>13</xdr:col>
      <xdr:colOff>139699</xdr:colOff>
      <xdr:row>42</xdr:row>
      <xdr:rowOff>177427</xdr:rowOff>
    </xdr:to>
    <xdr:graphicFrame macro="">
      <xdr:nvGraphicFramePr>
        <xdr:cNvPr id="9" name="NoLUCF">
          <a:extLst>
            <a:ext uri="{FF2B5EF4-FFF2-40B4-BE49-F238E27FC236}">
              <a16:creationId xmlns:a16="http://schemas.microsoft.com/office/drawing/2014/main" id="{00000000-0008-0000-0D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twoCellAnchor>
  <mc:AlternateContent xmlns:mc="http://schemas.openxmlformats.org/markup-compatibility/2006">
    <mc:Choice xmlns:a14="http://schemas.microsoft.com/office/drawing/2010/main" Requires="a14">
      <xdr:twoCellAnchor>
        <xdr:from>
          <xdr:col>10</xdr:col>
          <xdr:colOff>266700</xdr:colOff>
          <xdr:row>24</xdr:row>
          <xdr:rowOff>95250</xdr:rowOff>
        </xdr:from>
        <xdr:to>
          <xdr:col>12</xdr:col>
          <xdr:colOff>114300</xdr:colOff>
          <xdr:row>26</xdr:row>
          <xdr:rowOff>31750</xdr:rowOff>
        </xdr:to>
        <xdr:sp macro="" textlink="">
          <xdr:nvSpPr>
            <xdr:cNvPr id="12309" name="Spinner 21" hidden="1">
              <a:extLst>
                <a:ext uri="{63B3BB69-23CF-44E3-9099-C40C66FF867C}">
                  <a14:compatExt spid="_x0000_s12309"/>
                </a:ext>
                <a:ext uri="{FF2B5EF4-FFF2-40B4-BE49-F238E27FC236}">
                  <a16:creationId xmlns:a16="http://schemas.microsoft.com/office/drawing/2014/main" id="{00000000-0008-0000-0D00-0000153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16.xml><?xml version="1.0" encoding="utf-8"?>
<c:userShapes xmlns:c="http://schemas.openxmlformats.org/drawingml/2006/chart">
  <cdr:relSizeAnchor xmlns:cdr="http://schemas.openxmlformats.org/drawingml/2006/chartDrawing">
    <cdr:from>
      <cdr:x>0.06262</cdr:x>
      <cdr:y>0.83485</cdr:y>
    </cdr:from>
    <cdr:to>
      <cdr:x>0.92007</cdr:x>
      <cdr:y>0.96287</cdr:y>
    </cdr:to>
    <cdr:sp macro="" textlink="">
      <cdr:nvSpPr>
        <cdr:cNvPr id="19457" name="Text Box 1025"/>
        <cdr:cNvSpPr txBox="1">
          <a:spLocks xmlns:a="http://schemas.openxmlformats.org/drawingml/2006/main" noChangeArrowheads="1"/>
        </cdr:cNvSpPr>
      </cdr:nvSpPr>
      <cdr:spPr bwMode="auto">
        <a:xfrm xmlns:a="http://schemas.openxmlformats.org/drawingml/2006/main">
          <a:off x="203340" y="2670827"/>
          <a:ext cx="3343726" cy="381081"/>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vertOverflow="clip" wrap="square" lIns="27432" tIns="27432" rIns="0" bIns="0" anchor="t" upright="1"/>
        <a:lstStyle xmlns:a="http://schemas.openxmlformats.org/drawingml/2006/main"/>
        <a:p xmlns:a="http://schemas.openxmlformats.org/drawingml/2006/main">
          <a:pPr algn="l" rtl="0">
            <a:defRPr sz="1000"/>
          </a:pPr>
          <a:r>
            <a:rPr lang="en-US" sz="800" b="0" i="0" u="none" strike="noStrike" baseline="0">
              <a:solidFill>
                <a:srgbClr val="000000"/>
              </a:solidFill>
              <a:latin typeface="Comic Sans MS"/>
            </a:rPr>
            <a:t>Note: The share of emissions from the LULUCF sector are displayed only if LULUCF emissions were greater than zero.</a:t>
          </a:r>
          <a:endParaRPr lang="en-US"/>
        </a:p>
      </cdr:txBody>
    </cdr:sp>
  </cdr:relSizeAnchor>
</c:userShapes>
</file>

<file path=xl/drawings/drawing17.xml><?xml version="1.0" encoding="utf-8"?>
<xdr:wsDr xmlns:xdr="http://schemas.openxmlformats.org/drawingml/2006/spreadsheetDrawing" xmlns:a="http://schemas.openxmlformats.org/drawingml/2006/main">
  <xdr:twoCellAnchor>
    <xdr:from>
      <xdr:col>5</xdr:col>
      <xdr:colOff>137795</xdr:colOff>
      <xdr:row>0</xdr:row>
      <xdr:rowOff>85725</xdr:rowOff>
    </xdr:from>
    <xdr:to>
      <xdr:col>7</xdr:col>
      <xdr:colOff>9531</xdr:colOff>
      <xdr:row>0</xdr:row>
      <xdr:rowOff>466725</xdr:rowOff>
    </xdr:to>
    <xdr:sp macro="[0]!Sheet1.ReturnControl1" textlink="">
      <xdr:nvSpPr>
        <xdr:cNvPr id="51201" name="AutoShape 1025">
          <a:extLst>
            <a:ext uri="{FF2B5EF4-FFF2-40B4-BE49-F238E27FC236}">
              <a16:creationId xmlns:a16="http://schemas.microsoft.com/office/drawing/2014/main" id="{00000000-0008-0000-0E00-000001C80000}"/>
            </a:ext>
          </a:extLst>
        </xdr:cNvPr>
        <xdr:cNvSpPr>
          <a:spLocks noChangeArrowheads="1"/>
        </xdr:cNvSpPr>
      </xdr:nvSpPr>
      <xdr:spPr bwMode="auto">
        <a:xfrm flipH="1">
          <a:off x="5229225" y="85725"/>
          <a:ext cx="1257300" cy="381000"/>
        </a:xfrm>
        <a:prstGeom prst="homePlate">
          <a:avLst>
            <a:gd name="adj" fmla="val 8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7</xdr:col>
      <xdr:colOff>99695</xdr:colOff>
      <xdr:row>0</xdr:row>
      <xdr:rowOff>85725</xdr:rowOff>
    </xdr:from>
    <xdr:to>
      <xdr:col>8</xdr:col>
      <xdr:colOff>616565</xdr:colOff>
      <xdr:row>0</xdr:row>
      <xdr:rowOff>466725</xdr:rowOff>
    </xdr:to>
    <xdr:sp macro="[0]!GotoSummSector" textlink="">
      <xdr:nvSpPr>
        <xdr:cNvPr id="51202" name="AutoShape 1026">
          <a:extLst>
            <a:ext uri="{FF2B5EF4-FFF2-40B4-BE49-F238E27FC236}">
              <a16:creationId xmlns:a16="http://schemas.microsoft.com/office/drawing/2014/main" id="{00000000-0008-0000-0E00-000002C80000}"/>
            </a:ext>
          </a:extLst>
        </xdr:cNvPr>
        <xdr:cNvSpPr>
          <a:spLocks noChangeArrowheads="1"/>
        </xdr:cNvSpPr>
      </xdr:nvSpPr>
      <xdr:spPr bwMode="auto">
        <a:xfrm flipH="1">
          <a:off x="6562725" y="85725"/>
          <a:ext cx="1181100" cy="381000"/>
        </a:xfrm>
        <a:prstGeom prst="homePlate">
          <a:avLst>
            <a:gd name="adj" fmla="val 77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Sector</a:t>
          </a:r>
          <a:endParaRPr lang="en-US"/>
        </a:p>
      </xdr:txBody>
    </xdr:sp>
    <xdr:clientData/>
  </xdr:twoCellAnchor>
  <xdr:twoCellAnchor>
    <xdr:from>
      <xdr:col>1</xdr:col>
      <xdr:colOff>31750</xdr:colOff>
      <xdr:row>13</xdr:row>
      <xdr:rowOff>139700</xdr:rowOff>
    </xdr:from>
    <xdr:to>
      <xdr:col>9</xdr:col>
      <xdr:colOff>673100</xdr:colOff>
      <xdr:row>31</xdr:row>
      <xdr:rowOff>152400</xdr:rowOff>
    </xdr:to>
    <xdr:graphicFrame macro="">
      <xdr:nvGraphicFramePr>
        <xdr:cNvPr id="51599" name="Chart 1035">
          <a:extLst>
            <a:ext uri="{FF2B5EF4-FFF2-40B4-BE49-F238E27FC236}">
              <a16:creationId xmlns:a16="http://schemas.microsoft.com/office/drawing/2014/main" id="{00000000-0008-0000-0E00-00008F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10</xdr:col>
      <xdr:colOff>25400</xdr:colOff>
      <xdr:row>13</xdr:row>
      <xdr:rowOff>152400</xdr:rowOff>
    </xdr:from>
    <xdr:to>
      <xdr:col>20</xdr:col>
      <xdr:colOff>450850</xdr:colOff>
      <xdr:row>32</xdr:row>
      <xdr:rowOff>0</xdr:rowOff>
    </xdr:to>
    <xdr:graphicFrame macro="">
      <xdr:nvGraphicFramePr>
        <xdr:cNvPr id="51600" name="Chart 1036">
          <a:extLst>
            <a:ext uri="{FF2B5EF4-FFF2-40B4-BE49-F238E27FC236}">
              <a16:creationId xmlns:a16="http://schemas.microsoft.com/office/drawing/2014/main" id="{00000000-0008-0000-0E00-000090C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twoCellAnchor>
    <xdr:from>
      <xdr:col>9</xdr:col>
      <xdr:colOff>85725</xdr:colOff>
      <xdr:row>0</xdr:row>
      <xdr:rowOff>85725</xdr:rowOff>
    </xdr:from>
    <xdr:to>
      <xdr:col>10</xdr:col>
      <xdr:colOff>499695</xdr:colOff>
      <xdr:row>0</xdr:row>
      <xdr:rowOff>466725</xdr:rowOff>
    </xdr:to>
    <xdr:sp macro="[0]!GotoSummGas" textlink="">
      <xdr:nvSpPr>
        <xdr:cNvPr id="51213" name="AutoShape 1037">
          <a:extLst>
            <a:ext uri="{FF2B5EF4-FFF2-40B4-BE49-F238E27FC236}">
              <a16:creationId xmlns:a16="http://schemas.microsoft.com/office/drawing/2014/main" id="{00000000-0008-0000-0E00-00000DC80000}"/>
            </a:ext>
          </a:extLst>
        </xdr:cNvPr>
        <xdr:cNvSpPr>
          <a:spLocks noChangeArrowheads="1"/>
        </xdr:cNvSpPr>
      </xdr:nvSpPr>
      <xdr:spPr bwMode="auto">
        <a:xfrm flipH="1">
          <a:off x="7934325" y="85725"/>
          <a:ext cx="1181100" cy="381000"/>
        </a:xfrm>
        <a:prstGeom prst="homePlate">
          <a:avLst>
            <a:gd name="adj" fmla="val 77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Go to Summary by Gas</a:t>
          </a:r>
          <a:endParaRPr lang="en-US"/>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337820</xdr:colOff>
      <xdr:row>0</xdr:row>
      <xdr:rowOff>98425</xdr:rowOff>
    </xdr:from>
    <xdr:to>
      <xdr:col>4</xdr:col>
      <xdr:colOff>604520</xdr:colOff>
      <xdr:row>2</xdr:row>
      <xdr:rowOff>127000</xdr:rowOff>
    </xdr:to>
    <xdr:sp macro="[0]!ReturnFromNotes" textlink="">
      <xdr:nvSpPr>
        <xdr:cNvPr id="46081" name="AutoShape 1">
          <a:extLst>
            <a:ext uri="{FF2B5EF4-FFF2-40B4-BE49-F238E27FC236}">
              <a16:creationId xmlns:a16="http://schemas.microsoft.com/office/drawing/2014/main" id="{00000000-0008-0000-1200-000001B40000}"/>
            </a:ext>
          </a:extLst>
        </xdr:cNvPr>
        <xdr:cNvSpPr>
          <a:spLocks noChangeArrowheads="1"/>
        </xdr:cNvSpPr>
      </xdr:nvSpPr>
      <xdr:spPr bwMode="auto">
        <a:xfrm flipH="1">
          <a:off x="2152650" y="104775"/>
          <a:ext cx="876300" cy="352425"/>
        </a:xfrm>
        <a:prstGeom prst="homePlate">
          <a:avLst>
            <a:gd name="adj" fmla="val 62162"/>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defRPr sz="1000"/>
          </a:pPr>
          <a:r>
            <a:rPr lang="en-US" sz="800" b="0" i="0" u="none" strike="noStrike" baseline="0">
              <a:solidFill>
                <a:srgbClr val="000000"/>
              </a:solidFill>
              <a:latin typeface="Comic Sans MS"/>
            </a:rPr>
            <a:t>Return</a:t>
          </a:r>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47625</xdr:colOff>
      <xdr:row>39</xdr:row>
      <xdr:rowOff>79375</xdr:rowOff>
    </xdr:from>
    <xdr:to>
      <xdr:col>12</xdr:col>
      <xdr:colOff>333375</xdr:colOff>
      <xdr:row>56</xdr:row>
      <xdr:rowOff>3175</xdr:rowOff>
    </xdr:to>
    <xdr:graphicFrame macro="">
      <xdr:nvGraphicFramePr>
        <xdr:cNvPr id="4330" name="Chart 1">
          <a:extLst>
            <a:ext uri="{FF2B5EF4-FFF2-40B4-BE49-F238E27FC236}">
              <a16:creationId xmlns:a16="http://schemas.microsoft.com/office/drawing/2014/main" id="{00000000-0008-0000-0100-0000EA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488950</xdr:colOff>
      <xdr:row>39</xdr:row>
      <xdr:rowOff>88900</xdr:rowOff>
    </xdr:from>
    <xdr:to>
      <xdr:col>25</xdr:col>
      <xdr:colOff>177800</xdr:colOff>
      <xdr:row>56</xdr:row>
      <xdr:rowOff>19050</xdr:rowOff>
    </xdr:to>
    <xdr:graphicFrame macro="">
      <xdr:nvGraphicFramePr>
        <xdr:cNvPr id="4331" name="Chart 2">
          <a:extLst>
            <a:ext uri="{FF2B5EF4-FFF2-40B4-BE49-F238E27FC236}">
              <a16:creationId xmlns:a16="http://schemas.microsoft.com/office/drawing/2014/main" id="{00000000-0008-0000-0100-0000EB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247650</xdr:colOff>
      <xdr:row>0</xdr:row>
      <xdr:rowOff>85725</xdr:rowOff>
    </xdr:from>
    <xdr:to>
      <xdr:col>7</xdr:col>
      <xdr:colOff>133350</xdr:colOff>
      <xdr:row>0</xdr:row>
      <xdr:rowOff>466725</xdr:rowOff>
    </xdr:to>
    <xdr:sp macro="[0]!Sheet02.ReturnControl02" textlink="">
      <xdr:nvSpPr>
        <xdr:cNvPr id="4100" name="AutoShape 4">
          <a:extLst>
            <a:ext uri="{FF2B5EF4-FFF2-40B4-BE49-F238E27FC236}">
              <a16:creationId xmlns:a16="http://schemas.microsoft.com/office/drawing/2014/main" id="{00000000-0008-0000-0100-000004100000}"/>
            </a:ext>
          </a:extLst>
        </xdr:cNvPr>
        <xdr:cNvSpPr>
          <a:spLocks noChangeArrowheads="1"/>
        </xdr:cNvSpPr>
      </xdr:nvSpPr>
      <xdr:spPr bwMode="auto">
        <a:xfrm flipH="1">
          <a:off x="4343400" y="85725"/>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0</xdr:col>
      <xdr:colOff>182631</xdr:colOff>
      <xdr:row>1</xdr:row>
      <xdr:rowOff>37824</xdr:rowOff>
    </xdr:from>
    <xdr:to>
      <xdr:col>11</xdr:col>
      <xdr:colOff>254985</xdr:colOff>
      <xdr:row>1</xdr:row>
      <xdr:rowOff>613103</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182631" y="585238"/>
          <a:ext cx="8152182" cy="575279"/>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fossil fuel combustion</a:t>
          </a:r>
          <a:r>
            <a:rPr lang="en-US" sz="800" b="0" i="0" baseline="0">
              <a:solidFill>
                <a:schemeClr val="dk1"/>
              </a:solidFill>
              <a:effectLst/>
              <a:latin typeface="Arial" panose="020B0604020202020204" pitchFamily="34" charset="0"/>
              <a:ea typeface="+mn-ea"/>
              <a:cs typeface="Arial" panose="020B0604020202020204" pitchFamily="34" charset="0"/>
            </a:rPr>
            <a:t> 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503306</xdr:colOff>
      <xdr:row>55</xdr:row>
      <xdr:rowOff>181527</xdr:rowOff>
    </xdr:from>
    <xdr:to>
      <xdr:col>13</xdr:col>
      <xdr:colOff>179456</xdr:colOff>
      <xdr:row>72</xdr:row>
      <xdr:rowOff>90833</xdr:rowOff>
    </xdr:to>
    <xdr:graphicFrame macro="">
      <xdr:nvGraphicFramePr>
        <xdr:cNvPr id="80028" name="Chart 1">
          <a:extLst>
            <a:ext uri="{FF2B5EF4-FFF2-40B4-BE49-F238E27FC236}">
              <a16:creationId xmlns:a16="http://schemas.microsoft.com/office/drawing/2014/main" id="{00000000-0008-0000-0200-00009C38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247650</xdr:colOff>
      <xdr:row>0</xdr:row>
      <xdr:rowOff>85725</xdr:rowOff>
    </xdr:from>
    <xdr:to>
      <xdr:col>17</xdr:col>
      <xdr:colOff>133350</xdr:colOff>
      <xdr:row>0</xdr:row>
      <xdr:rowOff>466725</xdr:rowOff>
    </xdr:to>
    <xdr:sp macro="[0]!Sheet02.ReturnControl02" textlink="">
      <xdr:nvSpPr>
        <xdr:cNvPr id="79875" name="AutoShape 3">
          <a:extLst>
            <a:ext uri="{FF2B5EF4-FFF2-40B4-BE49-F238E27FC236}">
              <a16:creationId xmlns:a16="http://schemas.microsoft.com/office/drawing/2014/main" id="{00000000-0008-0000-0200-000003380100}"/>
            </a:ext>
          </a:extLst>
        </xdr:cNvPr>
        <xdr:cNvSpPr>
          <a:spLocks noChangeArrowheads="1"/>
        </xdr:cNvSpPr>
      </xdr:nvSpPr>
      <xdr:spPr bwMode="auto">
        <a:xfrm flipH="1">
          <a:off x="4343400" y="85725"/>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0</xdr:col>
      <xdr:colOff>914400</xdr:colOff>
      <xdr:row>0</xdr:row>
      <xdr:rowOff>457200</xdr:rowOff>
    </xdr:from>
    <xdr:to>
      <xdr:col>10</xdr:col>
      <xdr:colOff>515730</xdr:colOff>
      <xdr:row>1</xdr:row>
      <xdr:rowOff>728869</xdr:rowOff>
    </xdr:to>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914400" y="457200"/>
          <a:ext cx="7279308" cy="826604"/>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electricity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171450</xdr:colOff>
      <xdr:row>25</xdr:row>
      <xdr:rowOff>85725</xdr:rowOff>
    </xdr:from>
    <xdr:to>
      <xdr:col>12</xdr:col>
      <xdr:colOff>561975</xdr:colOff>
      <xdr:row>40</xdr:row>
      <xdr:rowOff>38100</xdr:rowOff>
    </xdr:to>
    <xdr:graphicFrame macro="">
      <xdr:nvGraphicFramePr>
        <xdr:cNvPr id="9372" name="Chart 1">
          <a:extLst>
            <a:ext uri="{FF2B5EF4-FFF2-40B4-BE49-F238E27FC236}">
              <a16:creationId xmlns:a16="http://schemas.microsoft.com/office/drawing/2014/main" id="{00000000-0008-0000-0300-00009C2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104775</xdr:colOff>
      <xdr:row>0</xdr:row>
      <xdr:rowOff>114300</xdr:rowOff>
    </xdr:from>
    <xdr:to>
      <xdr:col>9</xdr:col>
      <xdr:colOff>628043</xdr:colOff>
      <xdr:row>0</xdr:row>
      <xdr:rowOff>495300</xdr:rowOff>
    </xdr:to>
    <xdr:sp macro="[0]!Sheet03.ReturnControl03" textlink="">
      <xdr:nvSpPr>
        <xdr:cNvPr id="9218" name="AutoShape 2">
          <a:extLst>
            <a:ext uri="{FF2B5EF4-FFF2-40B4-BE49-F238E27FC236}">
              <a16:creationId xmlns:a16="http://schemas.microsoft.com/office/drawing/2014/main" id="{00000000-0008-0000-0300-000002240000}"/>
            </a:ext>
          </a:extLst>
        </xdr:cNvPr>
        <xdr:cNvSpPr>
          <a:spLocks noChangeArrowheads="1"/>
        </xdr:cNvSpPr>
      </xdr:nvSpPr>
      <xdr:spPr bwMode="auto">
        <a:xfrm flipH="1">
          <a:off x="6372225" y="114300"/>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0</xdr:col>
      <xdr:colOff>590550</xdr:colOff>
      <xdr:row>1</xdr:row>
      <xdr:rowOff>82550</xdr:rowOff>
    </xdr:from>
    <xdr:to>
      <xdr:col>9</xdr:col>
      <xdr:colOff>446708</xdr:colOff>
      <xdr:row>1</xdr:row>
      <xdr:rowOff>904875</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590550" y="625475"/>
          <a:ext cx="7276133" cy="822325"/>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stationary</a:t>
          </a:r>
          <a:r>
            <a:rPr lang="en-US" sz="800" b="0" i="0" baseline="0">
              <a:solidFill>
                <a:schemeClr val="dk1"/>
              </a:solidFill>
              <a:effectLst/>
              <a:latin typeface="Arial" panose="020B0604020202020204" pitchFamily="34" charset="0"/>
              <a:ea typeface="+mn-ea"/>
              <a:cs typeface="Arial" panose="020B0604020202020204" pitchFamily="34" charset="0"/>
            </a:rPr>
            <a:t> combustion</a:t>
          </a:r>
          <a:r>
            <a:rPr lang="en-US" sz="800" b="0" i="0">
              <a:solidFill>
                <a:schemeClr val="dk1"/>
              </a:solidFill>
              <a:effectLst/>
              <a:latin typeface="Arial" panose="020B0604020202020204" pitchFamily="34" charset="0"/>
              <a:ea typeface="+mn-ea"/>
              <a:cs typeface="Arial" panose="020B0604020202020204" pitchFamily="34" charset="0"/>
            </a:rPr>
            <a:t>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51</xdr:col>
      <xdr:colOff>374650</xdr:colOff>
      <xdr:row>56</xdr:row>
      <xdr:rowOff>146050</xdr:rowOff>
    </xdr:from>
    <xdr:to>
      <xdr:col>64</xdr:col>
      <xdr:colOff>177800</xdr:colOff>
      <xdr:row>75</xdr:row>
      <xdr:rowOff>63500</xdr:rowOff>
    </xdr:to>
    <xdr:graphicFrame macro="">
      <xdr:nvGraphicFramePr>
        <xdr:cNvPr id="3617" name="Chart 2">
          <a:extLst>
            <a:ext uri="{FF2B5EF4-FFF2-40B4-BE49-F238E27FC236}">
              <a16:creationId xmlns:a16="http://schemas.microsoft.com/office/drawing/2014/main" id="{00000000-0008-0000-0400-000021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38</xdr:col>
      <xdr:colOff>463550</xdr:colOff>
      <xdr:row>56</xdr:row>
      <xdr:rowOff>139700</xdr:rowOff>
    </xdr:from>
    <xdr:to>
      <xdr:col>51</xdr:col>
      <xdr:colOff>273050</xdr:colOff>
      <xdr:row>75</xdr:row>
      <xdr:rowOff>63500</xdr:rowOff>
    </xdr:to>
    <xdr:graphicFrame macro="">
      <xdr:nvGraphicFramePr>
        <xdr:cNvPr id="3618" name="Chart 3">
          <a:extLst>
            <a:ext uri="{FF2B5EF4-FFF2-40B4-BE49-F238E27FC236}">
              <a16:creationId xmlns:a16="http://schemas.microsoft.com/office/drawing/2014/main" id="{00000000-0008-0000-0400-000022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38</xdr:col>
      <xdr:colOff>444500</xdr:colOff>
      <xdr:row>4</xdr:row>
      <xdr:rowOff>133350</xdr:rowOff>
    </xdr:from>
    <xdr:to>
      <xdr:col>51</xdr:col>
      <xdr:colOff>273050</xdr:colOff>
      <xdr:row>23</xdr:row>
      <xdr:rowOff>31750</xdr:rowOff>
    </xdr:to>
    <xdr:graphicFrame macro="">
      <xdr:nvGraphicFramePr>
        <xdr:cNvPr id="3619" name="Chart 6">
          <a:extLst>
            <a:ext uri="{FF2B5EF4-FFF2-40B4-BE49-F238E27FC236}">
              <a16:creationId xmlns:a16="http://schemas.microsoft.com/office/drawing/2014/main" id="{00000000-0008-0000-0400-000023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51</xdr:col>
      <xdr:colOff>368300</xdr:colOff>
      <xdr:row>5</xdr:row>
      <xdr:rowOff>6350</xdr:rowOff>
    </xdr:from>
    <xdr:to>
      <xdr:col>64</xdr:col>
      <xdr:colOff>196850</xdr:colOff>
      <xdr:row>23</xdr:row>
      <xdr:rowOff>44450</xdr:rowOff>
    </xdr:to>
    <xdr:graphicFrame macro="">
      <xdr:nvGraphicFramePr>
        <xdr:cNvPr id="3620" name="Chart 7">
          <a:extLst>
            <a:ext uri="{FF2B5EF4-FFF2-40B4-BE49-F238E27FC236}">
              <a16:creationId xmlns:a16="http://schemas.microsoft.com/office/drawing/2014/main" id="{00000000-0008-0000-0400-000024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51</xdr:col>
      <xdr:colOff>374650</xdr:colOff>
      <xdr:row>86</xdr:row>
      <xdr:rowOff>31750</xdr:rowOff>
    </xdr:from>
    <xdr:to>
      <xdr:col>64</xdr:col>
      <xdr:colOff>177800</xdr:colOff>
      <xdr:row>104</xdr:row>
      <xdr:rowOff>114300</xdr:rowOff>
    </xdr:to>
    <xdr:graphicFrame macro="">
      <xdr:nvGraphicFramePr>
        <xdr:cNvPr id="3621" name="Chart 8">
          <a:extLst>
            <a:ext uri="{FF2B5EF4-FFF2-40B4-BE49-F238E27FC236}">
              <a16:creationId xmlns:a16="http://schemas.microsoft.com/office/drawing/2014/main" id="{00000000-0008-0000-0400-000025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38</xdr:col>
      <xdr:colOff>482600</xdr:colOff>
      <xdr:row>86</xdr:row>
      <xdr:rowOff>6350</xdr:rowOff>
    </xdr:from>
    <xdr:to>
      <xdr:col>51</xdr:col>
      <xdr:colOff>266700</xdr:colOff>
      <xdr:row>104</xdr:row>
      <xdr:rowOff>107950</xdr:rowOff>
    </xdr:to>
    <xdr:graphicFrame macro="">
      <xdr:nvGraphicFramePr>
        <xdr:cNvPr id="3622" name="Chart 9">
          <a:extLst>
            <a:ext uri="{FF2B5EF4-FFF2-40B4-BE49-F238E27FC236}">
              <a16:creationId xmlns:a16="http://schemas.microsoft.com/office/drawing/2014/main" id="{00000000-0008-0000-0400-0000260E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95250</xdr:colOff>
      <xdr:row>0</xdr:row>
      <xdr:rowOff>85725</xdr:rowOff>
    </xdr:from>
    <xdr:to>
      <xdr:col>8</xdr:col>
      <xdr:colOff>551895</xdr:colOff>
      <xdr:row>0</xdr:row>
      <xdr:rowOff>466725</xdr:rowOff>
    </xdr:to>
    <xdr:sp macro="[0]!Sheet04.ReturnControl04" textlink="">
      <xdr:nvSpPr>
        <xdr:cNvPr id="3082" name="AutoShape 10">
          <a:extLst>
            <a:ext uri="{FF2B5EF4-FFF2-40B4-BE49-F238E27FC236}">
              <a16:creationId xmlns:a16="http://schemas.microsoft.com/office/drawing/2014/main" id="{00000000-0008-0000-0400-00000A0C0000}"/>
            </a:ext>
          </a:extLst>
        </xdr:cNvPr>
        <xdr:cNvSpPr>
          <a:spLocks noChangeArrowheads="1"/>
        </xdr:cNvSpPr>
      </xdr:nvSpPr>
      <xdr:spPr bwMode="auto">
        <a:xfrm flipH="1">
          <a:off x="5810250" y="85725"/>
          <a:ext cx="1238250" cy="381000"/>
        </a:xfrm>
        <a:prstGeom prst="homePlate">
          <a:avLst>
            <a:gd name="adj" fmla="val 8125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0</xdr:colOff>
      <xdr:row>1</xdr:row>
      <xdr:rowOff>76200</xdr:rowOff>
    </xdr:from>
    <xdr:to>
      <xdr:col>8</xdr:col>
      <xdr:colOff>503858</xdr:colOff>
      <xdr:row>1</xdr:row>
      <xdr:rowOff>923925</xdr:rowOff>
    </xdr:to>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371475" y="628650"/>
          <a:ext cx="7276133" cy="847725"/>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mobile</a:t>
          </a:r>
          <a:r>
            <a:rPr lang="en-US" sz="800" b="0" i="0" baseline="0">
              <a:solidFill>
                <a:schemeClr val="dk1"/>
              </a:solidFill>
              <a:effectLst/>
              <a:latin typeface="Arial" panose="020B0604020202020204" pitchFamily="34" charset="0"/>
              <a:ea typeface="+mn-ea"/>
              <a:cs typeface="Arial" panose="020B0604020202020204" pitchFamily="34" charset="0"/>
            </a:rPr>
            <a:t> combustion</a:t>
          </a:r>
          <a:r>
            <a:rPr lang="en-US" sz="800" b="0" i="0">
              <a:solidFill>
                <a:schemeClr val="dk1"/>
              </a:solidFill>
              <a:effectLst/>
              <a:latin typeface="Arial" panose="020B0604020202020204" pitchFamily="34" charset="0"/>
              <a:ea typeface="+mn-ea"/>
              <a:cs typeface="Arial" panose="020B0604020202020204" pitchFamily="34" charset="0"/>
            </a:rPr>
            <a:t>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247650</xdr:colOff>
      <xdr:row>0</xdr:row>
      <xdr:rowOff>85725</xdr:rowOff>
    </xdr:from>
    <xdr:to>
      <xdr:col>6</xdr:col>
      <xdr:colOff>675791</xdr:colOff>
      <xdr:row>0</xdr:row>
      <xdr:rowOff>466725</xdr:rowOff>
    </xdr:to>
    <xdr:sp macro="[0]!Sheet05.ReturnControl05" textlink="">
      <xdr:nvSpPr>
        <xdr:cNvPr id="1032" name="AutoShape 8">
          <a:extLst>
            <a:ext uri="{FF2B5EF4-FFF2-40B4-BE49-F238E27FC236}">
              <a16:creationId xmlns:a16="http://schemas.microsoft.com/office/drawing/2014/main" id="{00000000-0008-0000-0500-000008040000}"/>
            </a:ext>
          </a:extLst>
        </xdr:cNvPr>
        <xdr:cNvSpPr>
          <a:spLocks noChangeArrowheads="1"/>
        </xdr:cNvSpPr>
      </xdr:nvSpPr>
      <xdr:spPr bwMode="auto">
        <a:xfrm flipH="1">
          <a:off x="4124325" y="85725"/>
          <a:ext cx="1104900" cy="381000"/>
        </a:xfrm>
        <a:prstGeom prst="homePlate">
          <a:avLst>
            <a:gd name="adj" fmla="val 72500"/>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257175</xdr:colOff>
      <xdr:row>31</xdr:row>
      <xdr:rowOff>0</xdr:rowOff>
    </xdr:from>
    <xdr:to>
      <xdr:col>11</xdr:col>
      <xdr:colOff>295275</xdr:colOff>
      <xdr:row>48</xdr:row>
      <xdr:rowOff>38100</xdr:rowOff>
    </xdr:to>
    <xdr:graphicFrame macro="">
      <xdr:nvGraphicFramePr>
        <xdr:cNvPr id="1191" name="Chart 9">
          <a:extLst>
            <a:ext uri="{FF2B5EF4-FFF2-40B4-BE49-F238E27FC236}">
              <a16:creationId xmlns:a16="http://schemas.microsoft.com/office/drawing/2014/main" id="{00000000-0008-0000-0500-0000A7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xdr:row>
      <xdr:rowOff>0</xdr:rowOff>
    </xdr:from>
    <xdr:to>
      <xdr:col>9</xdr:col>
      <xdr:colOff>722933</xdr:colOff>
      <xdr:row>1</xdr:row>
      <xdr:rowOff>715203</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428625" y="552450"/>
          <a:ext cx="7276133" cy="715203"/>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coal mining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an additional emissions source can be entered (in 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85725</xdr:colOff>
      <xdr:row>29</xdr:row>
      <xdr:rowOff>104775</xdr:rowOff>
    </xdr:from>
    <xdr:to>
      <xdr:col>11</xdr:col>
      <xdr:colOff>523875</xdr:colOff>
      <xdr:row>47</xdr:row>
      <xdr:rowOff>57150</xdr:rowOff>
    </xdr:to>
    <xdr:graphicFrame macro="">
      <xdr:nvGraphicFramePr>
        <xdr:cNvPr id="6300" name="Chart 1">
          <a:extLst>
            <a:ext uri="{FF2B5EF4-FFF2-40B4-BE49-F238E27FC236}">
              <a16:creationId xmlns:a16="http://schemas.microsoft.com/office/drawing/2014/main" id="{00000000-0008-0000-0600-00009C1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356870</xdr:colOff>
      <xdr:row>0</xdr:row>
      <xdr:rowOff>114300</xdr:rowOff>
    </xdr:from>
    <xdr:to>
      <xdr:col>7</xdr:col>
      <xdr:colOff>19123</xdr:colOff>
      <xdr:row>0</xdr:row>
      <xdr:rowOff>457200</xdr:rowOff>
    </xdr:to>
    <xdr:sp macro="[0]!Sheet06.ReturnControl06" textlink="">
      <xdr:nvSpPr>
        <xdr:cNvPr id="6146" name="AutoShape 2">
          <a:extLst>
            <a:ext uri="{FF2B5EF4-FFF2-40B4-BE49-F238E27FC236}">
              <a16:creationId xmlns:a16="http://schemas.microsoft.com/office/drawing/2014/main" id="{00000000-0008-0000-0600-000002180000}"/>
            </a:ext>
          </a:extLst>
        </xdr:cNvPr>
        <xdr:cNvSpPr>
          <a:spLocks noChangeArrowheads="1"/>
        </xdr:cNvSpPr>
      </xdr:nvSpPr>
      <xdr:spPr bwMode="auto">
        <a:xfrm flipH="1">
          <a:off x="4114800" y="114300"/>
          <a:ext cx="990600" cy="342900"/>
        </a:xfrm>
        <a:prstGeom prst="homePlate">
          <a:avLst>
            <a:gd name="adj" fmla="val 72222"/>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28575</xdr:colOff>
      <xdr:row>1</xdr:row>
      <xdr:rowOff>44450</xdr:rowOff>
    </xdr:from>
    <xdr:to>
      <xdr:col>10</xdr:col>
      <xdr:colOff>370508</xdr:colOff>
      <xdr:row>1</xdr:row>
      <xdr:rowOff>762828</xdr:rowOff>
    </xdr:to>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457200" y="958850"/>
          <a:ext cx="7276133" cy="718378"/>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oil and gas activities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an additional emissions source can be entered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Source’ row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495300</xdr:colOff>
      <xdr:row>28</xdr:row>
      <xdr:rowOff>44450</xdr:rowOff>
    </xdr:from>
    <xdr:to>
      <xdr:col>10</xdr:col>
      <xdr:colOff>139700</xdr:colOff>
      <xdr:row>45</xdr:row>
      <xdr:rowOff>127000</xdr:rowOff>
    </xdr:to>
    <xdr:graphicFrame macro="">
      <xdr:nvGraphicFramePr>
        <xdr:cNvPr id="5507" name="Chart 1">
          <a:extLst>
            <a:ext uri="{FF2B5EF4-FFF2-40B4-BE49-F238E27FC236}">
              <a16:creationId xmlns:a16="http://schemas.microsoft.com/office/drawing/2014/main" id="{00000000-0008-0000-0700-000083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381000</xdr:colOff>
      <xdr:row>28</xdr:row>
      <xdr:rowOff>114300</xdr:rowOff>
    </xdr:from>
    <xdr:to>
      <xdr:col>21</xdr:col>
      <xdr:colOff>342900</xdr:colOff>
      <xdr:row>45</xdr:row>
      <xdr:rowOff>152400</xdr:rowOff>
    </xdr:to>
    <xdr:graphicFrame macro="">
      <xdr:nvGraphicFramePr>
        <xdr:cNvPr id="5508" name="Chart 2">
          <a:extLst>
            <a:ext uri="{FF2B5EF4-FFF2-40B4-BE49-F238E27FC236}">
              <a16:creationId xmlns:a16="http://schemas.microsoft.com/office/drawing/2014/main" id="{00000000-0008-0000-0700-000084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520700</xdr:colOff>
      <xdr:row>47</xdr:row>
      <xdr:rowOff>44450</xdr:rowOff>
    </xdr:from>
    <xdr:to>
      <xdr:col>10</xdr:col>
      <xdr:colOff>203200</xdr:colOff>
      <xdr:row>65</xdr:row>
      <xdr:rowOff>0</xdr:rowOff>
    </xdr:to>
    <xdr:graphicFrame macro="">
      <xdr:nvGraphicFramePr>
        <xdr:cNvPr id="5509" name="Chart 3">
          <a:extLst>
            <a:ext uri="{FF2B5EF4-FFF2-40B4-BE49-F238E27FC236}">
              <a16:creationId xmlns:a16="http://schemas.microsoft.com/office/drawing/2014/main" id="{00000000-0008-0000-0700-000085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400050</xdr:colOff>
      <xdr:row>47</xdr:row>
      <xdr:rowOff>44450</xdr:rowOff>
    </xdr:from>
    <xdr:to>
      <xdr:col>21</xdr:col>
      <xdr:colOff>336550</xdr:colOff>
      <xdr:row>65</xdr:row>
      <xdr:rowOff>6350</xdr:rowOff>
    </xdr:to>
    <xdr:graphicFrame macro="">
      <xdr:nvGraphicFramePr>
        <xdr:cNvPr id="5510" name="Chart 4">
          <a:extLst>
            <a:ext uri="{FF2B5EF4-FFF2-40B4-BE49-F238E27FC236}">
              <a16:creationId xmlns:a16="http://schemas.microsoft.com/office/drawing/2014/main" id="{00000000-0008-0000-0700-0000861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328295</xdr:colOff>
      <xdr:row>0</xdr:row>
      <xdr:rowOff>47625</xdr:rowOff>
    </xdr:from>
    <xdr:to>
      <xdr:col>6</xdr:col>
      <xdr:colOff>394970</xdr:colOff>
      <xdr:row>0</xdr:row>
      <xdr:rowOff>392552</xdr:rowOff>
    </xdr:to>
    <xdr:sp macro="[0]!Sheet07.ReturnControl07" textlink="">
      <xdr:nvSpPr>
        <xdr:cNvPr id="5125" name="AutoShape 5">
          <a:extLst>
            <a:ext uri="{FF2B5EF4-FFF2-40B4-BE49-F238E27FC236}">
              <a16:creationId xmlns:a16="http://schemas.microsoft.com/office/drawing/2014/main" id="{00000000-0008-0000-0700-000005140000}"/>
            </a:ext>
          </a:extLst>
        </xdr:cNvPr>
        <xdr:cNvSpPr>
          <a:spLocks noChangeArrowheads="1"/>
        </xdr:cNvSpPr>
      </xdr:nvSpPr>
      <xdr:spPr bwMode="auto">
        <a:xfrm flipH="1">
          <a:off x="5086350" y="47625"/>
          <a:ext cx="876300" cy="352425"/>
        </a:xfrm>
        <a:prstGeom prst="homePlate">
          <a:avLst>
            <a:gd name="adj" fmla="val 62162"/>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7432" rIns="27432" bIns="0" anchor="t" upright="1"/>
        <a:lstStyle/>
        <a:p>
          <a:pPr algn="ctr" rtl="0">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0</xdr:colOff>
      <xdr:row>1</xdr:row>
      <xdr:rowOff>104775</xdr:rowOff>
    </xdr:from>
    <xdr:to>
      <xdr:col>8</xdr:col>
      <xdr:colOff>30783</xdr:colOff>
      <xdr:row>1</xdr:row>
      <xdr:rowOff>816803</xdr:rowOff>
    </xdr:to>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609600" y="676275"/>
          <a:ext cx="7279308" cy="712028"/>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industrial processes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390525</xdr:colOff>
      <xdr:row>60</xdr:row>
      <xdr:rowOff>0</xdr:rowOff>
    </xdr:from>
    <xdr:to>
      <xdr:col>16</xdr:col>
      <xdr:colOff>504825</xdr:colOff>
      <xdr:row>77</xdr:row>
      <xdr:rowOff>123825</xdr:rowOff>
    </xdr:to>
    <xdr:graphicFrame macro="">
      <xdr:nvGraphicFramePr>
        <xdr:cNvPr id="7479" name="Chart 1">
          <a:extLst>
            <a:ext uri="{FF2B5EF4-FFF2-40B4-BE49-F238E27FC236}">
              <a16:creationId xmlns:a16="http://schemas.microsoft.com/office/drawing/2014/main" id="{00000000-0008-0000-0800-0000371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95250</xdr:colOff>
      <xdr:row>79</xdr:row>
      <xdr:rowOff>19050</xdr:rowOff>
    </xdr:from>
    <xdr:to>
      <xdr:col>12</xdr:col>
      <xdr:colOff>76200</xdr:colOff>
      <xdr:row>96</xdr:row>
      <xdr:rowOff>120650</xdr:rowOff>
    </xdr:to>
    <xdr:graphicFrame macro="">
      <xdr:nvGraphicFramePr>
        <xdr:cNvPr id="7480" name="Chart 2">
          <a:extLst>
            <a:ext uri="{FF2B5EF4-FFF2-40B4-BE49-F238E27FC236}">
              <a16:creationId xmlns:a16="http://schemas.microsoft.com/office/drawing/2014/main" id="{00000000-0008-0000-0800-0000381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177800</xdr:colOff>
      <xdr:row>79</xdr:row>
      <xdr:rowOff>44450</xdr:rowOff>
    </xdr:from>
    <xdr:to>
      <xdr:col>23</xdr:col>
      <xdr:colOff>565150</xdr:colOff>
      <xdr:row>97</xdr:row>
      <xdr:rowOff>0</xdr:rowOff>
    </xdr:to>
    <xdr:graphicFrame macro="">
      <xdr:nvGraphicFramePr>
        <xdr:cNvPr id="7481" name="Chart 3">
          <a:extLst>
            <a:ext uri="{FF2B5EF4-FFF2-40B4-BE49-F238E27FC236}">
              <a16:creationId xmlns:a16="http://schemas.microsoft.com/office/drawing/2014/main" id="{00000000-0008-0000-0800-0000391D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433070</xdr:colOff>
      <xdr:row>0</xdr:row>
      <xdr:rowOff>161925</xdr:rowOff>
    </xdr:from>
    <xdr:to>
      <xdr:col>8</xdr:col>
      <xdr:colOff>95338</xdr:colOff>
      <xdr:row>0</xdr:row>
      <xdr:rowOff>504825</xdr:rowOff>
    </xdr:to>
    <xdr:sp macro="[0]!Sheet08.ReturnControl08" textlink="">
      <xdr:nvSpPr>
        <xdr:cNvPr id="7173" name="AutoShape 5">
          <a:extLst>
            <a:ext uri="{FF2B5EF4-FFF2-40B4-BE49-F238E27FC236}">
              <a16:creationId xmlns:a16="http://schemas.microsoft.com/office/drawing/2014/main" id="{00000000-0008-0000-0800-0000051C0000}"/>
            </a:ext>
          </a:extLst>
        </xdr:cNvPr>
        <xdr:cNvSpPr>
          <a:spLocks noChangeArrowheads="1"/>
        </xdr:cNvSpPr>
      </xdr:nvSpPr>
      <xdr:spPr bwMode="auto">
        <a:xfrm flipH="1">
          <a:off x="4829175" y="161925"/>
          <a:ext cx="838200" cy="342900"/>
        </a:xfrm>
        <a:prstGeom prst="homePlate">
          <a:avLst>
            <a:gd name="adj" fmla="val 61111"/>
          </a:avLst>
        </a:prstGeom>
        <a:solidFill>
          <a:srgbClr xmlns:mc="http://schemas.openxmlformats.org/markup-compatibility/2006" xmlns:a14="http://schemas.microsoft.com/office/drawing/2010/main" val="C0C0C0" mc:Ignorable="a14" a14:legacySpreadsheetColorIndex="22"/>
        </a:solidFill>
        <a:ln w="9525">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27432" rIns="27432" bIns="27432" anchor="ctr" upright="1"/>
        <a:lstStyle/>
        <a:p>
          <a:pPr algn="ctr" rtl="0">
            <a:lnSpc>
              <a:spcPts val="1000"/>
            </a:lnSpc>
            <a:defRPr sz="1000"/>
          </a:pPr>
          <a:r>
            <a:rPr lang="en-US" sz="800" b="0" i="0" u="none" strike="noStrike" baseline="0">
              <a:solidFill>
                <a:srgbClr val="000000"/>
              </a:solidFill>
              <a:latin typeface="Comic Sans MS"/>
            </a:rPr>
            <a:t>Return to Control Sheet</a:t>
          </a:r>
          <a:endParaRPr lang="en-US"/>
        </a:p>
      </xdr:txBody>
    </xdr:sp>
    <xdr:clientData/>
  </xdr:twoCellAnchor>
  <xdr:twoCellAnchor>
    <xdr:from>
      <xdr:col>1</xdr:col>
      <xdr:colOff>0</xdr:colOff>
      <xdr:row>1</xdr:row>
      <xdr:rowOff>0</xdr:rowOff>
    </xdr:from>
    <xdr:to>
      <xdr:col>10</xdr:col>
      <xdr:colOff>554658</xdr:colOff>
      <xdr:row>3</xdr:row>
      <xdr:rowOff>95250</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247650" y="654050"/>
          <a:ext cx="7253908" cy="685800"/>
        </a:xfrm>
        <a:prstGeom prst="rect">
          <a:avLst/>
        </a:prstGeom>
        <a:solidFill>
          <a:srgbClr val="C0C0C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This tab summarizes emissions from agriculture </a:t>
          </a:r>
          <a:r>
            <a:rPr lang="en-US" sz="800" b="0" i="0" baseline="0">
              <a:solidFill>
                <a:schemeClr val="dk1"/>
              </a:solidFill>
              <a:effectLst/>
              <a:latin typeface="Arial" panose="020B0604020202020204" pitchFamily="34" charset="0"/>
              <a:ea typeface="+mn-ea"/>
              <a:cs typeface="Arial" panose="020B0604020202020204" pitchFamily="34" charset="0"/>
            </a:rPr>
            <a:t>in</a:t>
          </a:r>
          <a:r>
            <a:rPr lang="en-US" sz="800" b="0" i="0">
              <a:solidFill>
                <a:schemeClr val="dk1"/>
              </a:solidFill>
              <a:effectLst/>
              <a:latin typeface="Arial" panose="020B0604020202020204" pitchFamily="34" charset="0"/>
              <a:ea typeface="+mn-ea"/>
              <a:cs typeface="Arial" panose="020B0604020202020204" pitchFamily="34" charset="0"/>
            </a:rPr>
            <a:t> million metric tons carbon dioxide equivalent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a:solidFill>
                <a:schemeClr val="dk1"/>
              </a:solidFill>
              <a:effectLst/>
              <a:latin typeface="Arial" panose="020B0604020202020204" pitchFamily="34" charset="0"/>
              <a:ea typeface="+mn-ea"/>
              <a:cs typeface="Arial" panose="020B0604020202020204" pitchFamily="34" charset="0"/>
            </a:rPr>
            <a:t>E)</a:t>
          </a:r>
          <a:r>
            <a:rPr lang="en-US" sz="800" b="0" i="0" baseline="0">
              <a:solidFill>
                <a:schemeClr val="dk1"/>
              </a:solidFill>
              <a:effectLst/>
              <a:latin typeface="Arial" panose="020B0604020202020204" pitchFamily="34" charset="0"/>
              <a:ea typeface="+mn-ea"/>
              <a:cs typeface="Arial" panose="020B0604020202020204" pitchFamily="34" charset="0"/>
            </a:rPr>
            <a:t> using emissions results exported from the SIT module.</a:t>
          </a:r>
        </a:p>
        <a:p>
          <a:pPr marL="0" marR="0" lvl="0" indent="0" defTabSz="914400" rtl="0" eaLnBrk="1" fontAlgn="auto" latinLnBrk="0" hangingPunct="1">
            <a:lnSpc>
              <a:spcPct val="100000"/>
            </a:lnSpc>
            <a:spcBef>
              <a:spcPts val="0"/>
            </a:spcBef>
            <a:spcAft>
              <a:spcPts val="0"/>
            </a:spcAft>
            <a:buClrTx/>
            <a:buSzTx/>
            <a:buFontTx/>
            <a:buNone/>
            <a:tabLst/>
            <a:defRPr/>
          </a:pPr>
          <a:endParaRPr lang="en-US" sz="800" b="0" i="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800" b="0" i="0">
              <a:solidFill>
                <a:schemeClr val="dk1"/>
              </a:solidFill>
              <a:effectLst/>
              <a:latin typeface="Arial" panose="020B0604020202020204" pitchFamily="34" charset="0"/>
              <a:ea typeface="+mn-ea"/>
              <a:cs typeface="Arial" panose="020B0604020202020204" pitchFamily="34" charset="0"/>
            </a:rPr>
            <a:t>Emission</a:t>
          </a:r>
          <a:r>
            <a:rPr lang="en-US" sz="800" b="0" i="0" baseline="0">
              <a:solidFill>
                <a:schemeClr val="dk1"/>
              </a:solidFill>
              <a:effectLst/>
              <a:latin typeface="Arial" panose="020B0604020202020204" pitchFamily="34" charset="0"/>
              <a:ea typeface="+mn-ea"/>
              <a:cs typeface="Arial" panose="020B0604020202020204" pitchFamily="34" charset="0"/>
            </a:rPr>
            <a:t>s from additional emissions source(s) can be entered by gas (in MMTCO</a:t>
          </a:r>
          <a:r>
            <a:rPr lang="en-US" sz="800" b="0" i="0" baseline="-25000">
              <a:solidFill>
                <a:schemeClr val="dk1"/>
              </a:solidFill>
              <a:effectLst/>
              <a:latin typeface="Arial" panose="020B0604020202020204" pitchFamily="34" charset="0"/>
              <a:ea typeface="+mn-ea"/>
              <a:cs typeface="Arial" panose="020B0604020202020204" pitchFamily="34" charset="0"/>
            </a:rPr>
            <a:t>2</a:t>
          </a:r>
          <a:r>
            <a:rPr lang="en-US" sz="800" b="0" i="0" baseline="0">
              <a:solidFill>
                <a:schemeClr val="dk1"/>
              </a:solidFill>
              <a:effectLst/>
              <a:latin typeface="Arial" panose="020B0604020202020204" pitchFamily="34" charset="0"/>
              <a:ea typeface="+mn-ea"/>
              <a:cs typeface="Arial" panose="020B0604020202020204" pitchFamily="34" charset="0"/>
            </a:rPr>
            <a:t>E) in the Additional Emissions rows if your state has emission sources that are not already included in the sector module.  Any additional emissions are pulled into the Summary by Sector and Summary by Gas worksheets. </a:t>
          </a:r>
          <a:endParaRPr lang="en-US" sz="800" b="0" i="0">
            <a:solidFill>
              <a:schemeClr val="dk1"/>
            </a:solidFill>
            <a:effectLst/>
            <a:latin typeface="Arial" panose="020B0604020202020204" pitchFamily="34" charset="0"/>
            <a:ea typeface="+mn-ea"/>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lgov-my.sharepoint.com/personal/41400_icf_com/Documents/State%20Inventory%20Tool/Liming%20Urea%20Update/Mobile%20Combustio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okups"/>
      <sheetName val="Control"/>
      <sheetName val="Highway1"/>
      <sheetName val="Highway2"/>
      <sheetName val="Highway3"/>
      <sheetName val="LDGV"/>
      <sheetName val="LDGT"/>
      <sheetName val="HDGV"/>
      <sheetName val="LDDV"/>
      <sheetName val="LDDT"/>
      <sheetName val="HDDV"/>
      <sheetName val="MC"/>
      <sheetName val="Highway"/>
      <sheetName val="Summary"/>
      <sheetName val="CO2 Summary"/>
      <sheetName val="Tracker"/>
      <sheetName val="Uncertainty"/>
      <sheetName val="Non-CO2 Emissions"/>
      <sheetName val="Aviation"/>
      <sheetName val="Boats"/>
      <sheetName val="Locomotives"/>
      <sheetName val="Other"/>
      <sheetName val="AFV"/>
      <sheetName val="Highway CO2"/>
      <sheetName val="Non-highway CO2"/>
      <sheetName val="VMT by MY"/>
      <sheetName val="HW Fuel Consumption by Type"/>
      <sheetName val="Fuel Efficiency"/>
      <sheetName val="Ethanol Correction for CO2"/>
      <sheetName val="CO2 Factors"/>
      <sheetName val="Aviation Activity"/>
      <sheetName val="Boat Activity"/>
      <sheetName val="Locomotive Activity"/>
      <sheetName val="Farm Activity"/>
      <sheetName val="Construction Activity"/>
      <sheetName val="Other Activity"/>
      <sheetName val="AFVActivity"/>
      <sheetName val="VMT Correction"/>
      <sheetName val="Non_HW_Calcs"/>
      <sheetName val="VMT"/>
      <sheetName val="AFV Calcs"/>
      <sheetName val="Notes"/>
      <sheetName val="Data Sourc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5.emf"/><Relationship Id="rId18" Type="http://schemas.openxmlformats.org/officeDocument/2006/relationships/control" Target="../activeX/activeX8.xml"/><Relationship Id="rId26" Type="http://schemas.openxmlformats.org/officeDocument/2006/relationships/control" Target="../activeX/activeX12.xml"/><Relationship Id="rId3" Type="http://schemas.openxmlformats.org/officeDocument/2006/relationships/vmlDrawing" Target="../drawings/vmlDrawing1.vml"/><Relationship Id="rId21" Type="http://schemas.openxmlformats.org/officeDocument/2006/relationships/image" Target="../media/image9.emf"/><Relationship Id="rId7" Type="http://schemas.openxmlformats.org/officeDocument/2006/relationships/image" Target="../media/image2.emf"/><Relationship Id="rId12" Type="http://schemas.openxmlformats.org/officeDocument/2006/relationships/control" Target="../activeX/activeX5.xml"/><Relationship Id="rId17" Type="http://schemas.openxmlformats.org/officeDocument/2006/relationships/image" Target="../media/image7.emf"/><Relationship Id="rId25" Type="http://schemas.openxmlformats.org/officeDocument/2006/relationships/image" Target="../media/image11.emf"/><Relationship Id="rId2" Type="http://schemas.openxmlformats.org/officeDocument/2006/relationships/drawing" Target="../drawings/drawing1.xml"/><Relationship Id="rId16" Type="http://schemas.openxmlformats.org/officeDocument/2006/relationships/control" Target="../activeX/activeX7.xml"/><Relationship Id="rId20" Type="http://schemas.openxmlformats.org/officeDocument/2006/relationships/control" Target="../activeX/activeX9.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24" Type="http://schemas.openxmlformats.org/officeDocument/2006/relationships/control" Target="../activeX/activeX11.xml"/><Relationship Id="rId5" Type="http://schemas.openxmlformats.org/officeDocument/2006/relationships/image" Target="../media/image1.emf"/><Relationship Id="rId15" Type="http://schemas.openxmlformats.org/officeDocument/2006/relationships/image" Target="../media/image6.emf"/><Relationship Id="rId23" Type="http://schemas.openxmlformats.org/officeDocument/2006/relationships/image" Target="../media/image10.emf"/><Relationship Id="rId28" Type="http://schemas.openxmlformats.org/officeDocument/2006/relationships/ctrlProp" Target="../ctrlProps/ctrlProp1.xml"/><Relationship Id="rId10" Type="http://schemas.openxmlformats.org/officeDocument/2006/relationships/control" Target="../activeX/activeX4.xml"/><Relationship Id="rId19" Type="http://schemas.openxmlformats.org/officeDocument/2006/relationships/image" Target="../media/image8.emf"/><Relationship Id="rId4" Type="http://schemas.openxmlformats.org/officeDocument/2006/relationships/control" Target="../activeX/activeX1.xml"/><Relationship Id="rId9" Type="http://schemas.openxmlformats.org/officeDocument/2006/relationships/image" Target="../media/image3.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image" Target="../media/image12.emf"/></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trlProp" Target="../ctrlProps/ctrlProp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5.xml"/><Relationship Id="rId1" Type="http://schemas.openxmlformats.org/officeDocument/2006/relationships/printerSettings" Target="../printerSettings/printerSettings14.bin"/><Relationship Id="rId4" Type="http://schemas.openxmlformats.org/officeDocument/2006/relationships/ctrlProp" Target="../ctrlProps/ctrlProp3.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01">
    <pageSetUpPr fitToPage="1"/>
  </sheetPr>
  <dimension ref="A1:I36"/>
  <sheetViews>
    <sheetView showGridLines="0" showRowColHeaders="0" tabSelected="1" workbookViewId="0">
      <selection activeCell="B6" sqref="B6"/>
    </sheetView>
  </sheetViews>
  <sheetFormatPr defaultColWidth="9.1796875" defaultRowHeight="15.5"/>
  <cols>
    <col min="1" max="2" width="9.1796875" style="121"/>
    <col min="3" max="3" width="33.54296875" style="121" customWidth="1"/>
    <col min="4" max="6" width="12.1796875" style="121" customWidth="1"/>
    <col min="7" max="7" width="18.54296875" style="121" customWidth="1"/>
    <col min="8" max="16384" width="9.1796875" style="121"/>
  </cols>
  <sheetData>
    <row r="1" spans="1:9" s="132" customFormat="1" ht="42" customHeight="1">
      <c r="A1" s="426" t="s">
        <v>380</v>
      </c>
      <c r="B1" s="426"/>
      <c r="C1" s="426"/>
      <c r="D1" s="426"/>
      <c r="E1" s="426"/>
      <c r="F1" s="426"/>
      <c r="G1" s="426"/>
    </row>
    <row r="2" spans="1:9" ht="3" customHeight="1"/>
    <row r="3" spans="1:9">
      <c r="A3" s="133" t="s">
        <v>0</v>
      </c>
    </row>
    <row r="4" spans="1:9" ht="103.5" customHeight="1">
      <c r="A4" s="424" t="s">
        <v>379</v>
      </c>
      <c r="B4" s="424"/>
      <c r="C4" s="424"/>
      <c r="D4" s="424"/>
      <c r="E4" s="424"/>
      <c r="F4" s="424"/>
      <c r="G4" s="424"/>
      <c r="H4" s="424"/>
      <c r="I4" s="424"/>
    </row>
    <row r="5" spans="1:9" ht="4.5" customHeight="1"/>
    <row r="6" spans="1:9" ht="8.25" customHeight="1"/>
    <row r="7" spans="1:9">
      <c r="B7" s="134" t="s">
        <v>1</v>
      </c>
    </row>
    <row r="8" spans="1:9" ht="6" customHeight="1"/>
    <row r="9" spans="1:9" ht="31">
      <c r="B9" s="134" t="s">
        <v>2</v>
      </c>
      <c r="G9" s="181" t="s">
        <v>3</v>
      </c>
    </row>
    <row r="10" spans="1:9" ht="7.5" customHeight="1"/>
    <row r="11" spans="1:9" ht="24" customHeight="1">
      <c r="C11" s="122" t="s">
        <v>4</v>
      </c>
      <c r="G11" s="183">
        <f>IF(CO2FFC!$AZ$1=0,"",CO2FFC!$AZ$1)</f>
        <v>45329.435692476851</v>
      </c>
    </row>
    <row r="12" spans="1:9" ht="24" customHeight="1">
      <c r="C12" s="122" t="s">
        <v>5</v>
      </c>
      <c r="G12" s="183">
        <f>IF(IndirectCO2!$AZ$1=0,"",IndirectCO2!$AZ$1)</f>
        <v>45329.437304861109</v>
      </c>
    </row>
    <row r="13" spans="1:9" ht="24" customHeight="1">
      <c r="C13" s="122" t="s">
        <v>6</v>
      </c>
      <c r="G13" s="183">
        <f>IF(Stationary!AZ1=0,"",Stationary!AZ1)</f>
        <v>45329.445632291667</v>
      </c>
    </row>
    <row r="14" spans="1:9" ht="24" customHeight="1">
      <c r="C14" s="122" t="s">
        <v>7</v>
      </c>
      <c r="G14" s="183">
        <f>IF('Mobile Combustion'!AZ1=0,"",'Mobile Combustion'!AZ1)</f>
        <v>45329.442412268516</v>
      </c>
    </row>
    <row r="15" spans="1:9" ht="24" customHeight="1">
      <c r="C15" s="122" t="s">
        <v>8</v>
      </c>
      <c r="G15" s="183">
        <f>IF(Coal!AZ1=0,"",Coal!AZ1)</f>
        <v>45329.436550578706</v>
      </c>
    </row>
    <row r="16" spans="1:9" ht="24" customHeight="1">
      <c r="C16" s="122" t="s">
        <v>9</v>
      </c>
      <c r="G16" s="183">
        <f>IF('Gas and Oil'!AZ1=0,"",'Gas and Oil'!AZ1)</f>
        <v>45331.684485995371</v>
      </c>
    </row>
    <row r="17" spans="1:7" ht="24" customHeight="1">
      <c r="C17" s="122" t="s">
        <v>10</v>
      </c>
      <c r="G17" s="183">
        <f>IF(IP!AZ1=0,"",IP!AZ1)</f>
        <v>45329.441078703705</v>
      </c>
    </row>
    <row r="18" spans="1:7" ht="24" customHeight="1">
      <c r="C18" s="122" t="s">
        <v>11</v>
      </c>
      <c r="G18" s="183">
        <f>IF(Agriculture!AZ1=0,"",Agriculture!AZ1)</f>
        <v>45349.697279282409</v>
      </c>
    </row>
    <row r="19" spans="1:7" ht="24" customHeight="1">
      <c r="C19" s="122" t="s">
        <v>12</v>
      </c>
      <c r="D19" s="425"/>
      <c r="E19" s="425"/>
      <c r="F19" s="425"/>
      <c r="G19" s="183">
        <f>IF('Forest Management'!AZ1=0,"",'Forest Management'!AZ1)</f>
        <v>45329.441721527779</v>
      </c>
    </row>
    <row r="20" spans="1:7" ht="24" customHeight="1">
      <c r="C20" s="122" t="s">
        <v>13</v>
      </c>
      <c r="G20" s="183">
        <f>IF(Waste!AZ1=0,"",Waste!AZ1)</f>
        <v>45329.444382060188</v>
      </c>
    </row>
    <row r="21" spans="1:7" ht="24" customHeight="1">
      <c r="C21" s="122" t="s">
        <v>14</v>
      </c>
      <c r="G21" s="183">
        <f>IF(Wastewater!AZ1=0,"",Wastewater!AZ1)</f>
        <v>45329.446548726854</v>
      </c>
    </row>
    <row r="22" spans="1:7" ht="5.25" customHeight="1"/>
    <row r="23" spans="1:7">
      <c r="B23" s="134" t="s">
        <v>15</v>
      </c>
    </row>
    <row r="24" spans="1:7" ht="18.75" customHeight="1">
      <c r="C24" s="122"/>
    </row>
    <row r="25" spans="1:7" ht="44.25" customHeight="1">
      <c r="A25" s="136" t="b">
        <v>1</v>
      </c>
    </row>
    <row r="31" spans="1:7" hidden="1"/>
    <row r="32" spans="1:7" hidden="1">
      <c r="B32" s="160" t="s">
        <v>16</v>
      </c>
      <c r="C32" s="161"/>
      <c r="D32" s="162"/>
    </row>
    <row r="33" spans="2:4" hidden="1">
      <c r="B33" s="163" t="s">
        <v>17</v>
      </c>
      <c r="C33" s="267">
        <v>28</v>
      </c>
      <c r="D33" s="164"/>
    </row>
    <row r="34" spans="2:4" hidden="1">
      <c r="B34" s="163" t="s">
        <v>18</v>
      </c>
      <c r="C34" s="267">
        <v>265</v>
      </c>
      <c r="D34" s="164"/>
    </row>
    <row r="35" spans="2:4" hidden="1">
      <c r="B35" s="165"/>
      <c r="C35" s="166"/>
      <c r="D35" s="167"/>
    </row>
    <row r="36" spans="2:4" hidden="1"/>
  </sheetData>
  <sheetProtection algorithmName="SHA-512" hashValue="SyXvBoTlqAhh7w66FdJsiiBL9qMavM3DN4ZEw10SPB4HSyNioND7iW+hxFab6ITFFDM1iJjl7zLHDmvYAKz9sA==" saltValue="JAsKRjUzXo2egwiYEHJ6dA==" spinCount="100000" sheet="1" objects="1" scenarios="1"/>
  <mergeCells count="3">
    <mergeCell ref="A4:I4"/>
    <mergeCell ref="D19:F19"/>
    <mergeCell ref="A1:G1"/>
  </mergeCells>
  <phoneticPr fontId="17" type="noConversion"/>
  <pageMargins left="0.75" right="0.75" top="1" bottom="1" header="0.5" footer="0.5"/>
  <pageSetup scale="82" orientation="landscape" r:id="rId1"/>
  <headerFooter alignWithMargins="0"/>
  <drawing r:id="rId2"/>
  <legacyDrawing r:id="rId3"/>
  <controls>
    <mc:AlternateContent xmlns:mc="http://schemas.openxmlformats.org/markup-compatibility/2006">
      <mc:Choice Requires="x14">
        <control shapeId="10242" r:id="rId4" name="cmdCoal">
          <controlPr defaultSize="0" autoLine="0" autoPict="0" r:id="rId5">
            <anchor moveWithCells="1">
              <from>
                <xdr:col>3</xdr:col>
                <xdr:colOff>31750</xdr:colOff>
                <xdr:row>14</xdr:row>
                <xdr:rowOff>31750</xdr:rowOff>
              </from>
              <to>
                <xdr:col>5</xdr:col>
                <xdr:colOff>742950</xdr:colOff>
                <xdr:row>14</xdr:row>
                <xdr:rowOff>298450</xdr:rowOff>
              </to>
            </anchor>
          </controlPr>
        </control>
      </mc:Choice>
      <mc:Fallback>
        <control shapeId="10242" r:id="rId4" name="cmdCoal"/>
      </mc:Fallback>
    </mc:AlternateContent>
    <mc:AlternateContent xmlns:mc="http://schemas.openxmlformats.org/markup-compatibility/2006">
      <mc:Choice Requires="x14">
        <control shapeId="10243" r:id="rId6" name="cmdOilGas">
          <controlPr defaultSize="0" autoLine="0" autoPict="0" r:id="rId7">
            <anchor moveWithCells="1">
              <from>
                <xdr:col>3</xdr:col>
                <xdr:colOff>31750</xdr:colOff>
                <xdr:row>15</xdr:row>
                <xdr:rowOff>31750</xdr:rowOff>
              </from>
              <to>
                <xdr:col>5</xdr:col>
                <xdr:colOff>755650</xdr:colOff>
                <xdr:row>15</xdr:row>
                <xdr:rowOff>298450</xdr:rowOff>
              </to>
            </anchor>
          </controlPr>
        </control>
      </mc:Choice>
      <mc:Fallback>
        <control shapeId="10243" r:id="rId6" name="cmdOilGas"/>
      </mc:Fallback>
    </mc:AlternateContent>
    <mc:AlternateContent xmlns:mc="http://schemas.openxmlformats.org/markup-compatibility/2006">
      <mc:Choice Requires="x14">
        <control shapeId="10244" r:id="rId8" name="cmdWaste">
          <controlPr defaultSize="0" autoLine="0" autoPict="0" r:id="rId9">
            <anchor moveWithCells="1">
              <from>
                <xdr:col>3</xdr:col>
                <xdr:colOff>31750</xdr:colOff>
                <xdr:row>19</xdr:row>
                <xdr:rowOff>31750</xdr:rowOff>
              </from>
              <to>
                <xdr:col>5</xdr:col>
                <xdr:colOff>742950</xdr:colOff>
                <xdr:row>19</xdr:row>
                <xdr:rowOff>298450</xdr:rowOff>
              </to>
            </anchor>
          </controlPr>
        </control>
      </mc:Choice>
      <mc:Fallback>
        <control shapeId="10244" r:id="rId8" name="cmdWaste"/>
      </mc:Fallback>
    </mc:AlternateContent>
    <mc:AlternateContent xmlns:mc="http://schemas.openxmlformats.org/markup-compatibility/2006">
      <mc:Choice Requires="x14">
        <control shapeId="10245" r:id="rId10" name="cmdCO2FFC">
          <controlPr defaultSize="0" autoLine="0" autoPict="0" r:id="rId11">
            <anchor moveWithCells="1">
              <from>
                <xdr:col>3</xdr:col>
                <xdr:colOff>31750</xdr:colOff>
                <xdr:row>10</xdr:row>
                <xdr:rowOff>31750</xdr:rowOff>
              </from>
              <to>
                <xdr:col>5</xdr:col>
                <xdr:colOff>755650</xdr:colOff>
                <xdr:row>10</xdr:row>
                <xdr:rowOff>298450</xdr:rowOff>
              </to>
            </anchor>
          </controlPr>
        </control>
      </mc:Choice>
      <mc:Fallback>
        <control shapeId="10245" r:id="rId10" name="cmdCO2FFC"/>
      </mc:Fallback>
    </mc:AlternateContent>
    <mc:AlternateContent xmlns:mc="http://schemas.openxmlformats.org/markup-compatibility/2006">
      <mc:Choice Requires="x14">
        <control shapeId="10246" r:id="rId12" name="cmdAg">
          <controlPr defaultSize="0" autoLine="0" autoPict="0" r:id="rId13">
            <anchor moveWithCells="1">
              <from>
                <xdr:col>3</xdr:col>
                <xdr:colOff>31750</xdr:colOff>
                <xdr:row>17</xdr:row>
                <xdr:rowOff>31750</xdr:rowOff>
              </from>
              <to>
                <xdr:col>5</xdr:col>
                <xdr:colOff>742950</xdr:colOff>
                <xdr:row>17</xdr:row>
                <xdr:rowOff>298450</xdr:rowOff>
              </to>
            </anchor>
          </controlPr>
        </control>
      </mc:Choice>
      <mc:Fallback>
        <control shapeId="10246" r:id="rId12" name="cmdAg"/>
      </mc:Fallback>
    </mc:AlternateContent>
    <mc:AlternateContent xmlns:mc="http://schemas.openxmlformats.org/markup-compatibility/2006">
      <mc:Choice Requires="x14">
        <control shapeId="10247" r:id="rId14" name="cmdWW">
          <controlPr defaultSize="0" autoLine="0" autoPict="0" r:id="rId15">
            <anchor moveWithCells="1">
              <from>
                <xdr:col>3</xdr:col>
                <xdr:colOff>31750</xdr:colOff>
                <xdr:row>20</xdr:row>
                <xdr:rowOff>31750</xdr:rowOff>
              </from>
              <to>
                <xdr:col>5</xdr:col>
                <xdr:colOff>742950</xdr:colOff>
                <xdr:row>20</xdr:row>
                <xdr:rowOff>298450</xdr:rowOff>
              </to>
            </anchor>
          </controlPr>
        </control>
      </mc:Choice>
      <mc:Fallback>
        <control shapeId="10247" r:id="rId14" name="cmdWW"/>
      </mc:Fallback>
    </mc:AlternateContent>
    <mc:AlternateContent xmlns:mc="http://schemas.openxmlformats.org/markup-compatibility/2006">
      <mc:Choice Requires="x14">
        <control shapeId="10248" r:id="rId16" name="cmdIP">
          <controlPr defaultSize="0" autoLine="0" autoPict="0" r:id="rId17">
            <anchor moveWithCells="1">
              <from>
                <xdr:col>3</xdr:col>
                <xdr:colOff>31750</xdr:colOff>
                <xdr:row>16</xdr:row>
                <xdr:rowOff>31750</xdr:rowOff>
              </from>
              <to>
                <xdr:col>5</xdr:col>
                <xdr:colOff>742950</xdr:colOff>
                <xdr:row>16</xdr:row>
                <xdr:rowOff>298450</xdr:rowOff>
              </to>
            </anchor>
          </controlPr>
        </control>
      </mc:Choice>
      <mc:Fallback>
        <control shapeId="10248" r:id="rId16" name="cmdIP"/>
      </mc:Fallback>
    </mc:AlternateContent>
    <mc:AlternateContent xmlns:mc="http://schemas.openxmlformats.org/markup-compatibility/2006">
      <mc:Choice Requires="x14">
        <control shapeId="10249" r:id="rId18" name="cmdStat">
          <controlPr defaultSize="0" autoLine="0" autoPict="0" r:id="rId19">
            <anchor moveWithCells="1">
              <from>
                <xdr:col>3</xdr:col>
                <xdr:colOff>31750</xdr:colOff>
                <xdr:row>12</xdr:row>
                <xdr:rowOff>31750</xdr:rowOff>
              </from>
              <to>
                <xdr:col>5</xdr:col>
                <xdr:colOff>755650</xdr:colOff>
                <xdr:row>12</xdr:row>
                <xdr:rowOff>298450</xdr:rowOff>
              </to>
            </anchor>
          </controlPr>
        </control>
      </mc:Choice>
      <mc:Fallback>
        <control shapeId="10249" r:id="rId18" name="cmdStat"/>
      </mc:Fallback>
    </mc:AlternateContent>
    <mc:AlternateContent xmlns:mc="http://schemas.openxmlformats.org/markup-compatibility/2006">
      <mc:Choice Requires="x14">
        <control shapeId="10250" r:id="rId20" name="cmdMobile">
          <controlPr defaultSize="0" autoLine="0" autoPict="0" r:id="rId21">
            <anchor moveWithCells="1">
              <from>
                <xdr:col>3</xdr:col>
                <xdr:colOff>31750</xdr:colOff>
                <xdr:row>13</xdr:row>
                <xdr:rowOff>31750</xdr:rowOff>
              </from>
              <to>
                <xdr:col>5</xdr:col>
                <xdr:colOff>755650</xdr:colOff>
                <xdr:row>13</xdr:row>
                <xdr:rowOff>298450</xdr:rowOff>
              </to>
            </anchor>
          </controlPr>
        </control>
      </mc:Choice>
      <mc:Fallback>
        <control shapeId="10250" r:id="rId20" name="cmdMobile"/>
      </mc:Fallback>
    </mc:AlternateContent>
    <mc:AlternateContent xmlns:mc="http://schemas.openxmlformats.org/markup-compatibility/2006">
      <mc:Choice Requires="x14">
        <control shapeId="10263" r:id="rId22" name="btnReset">
          <controlPr defaultSize="0" autoLine="0" r:id="rId23">
            <anchor moveWithCells="1">
              <from>
                <xdr:col>7</xdr:col>
                <xdr:colOff>19050</xdr:colOff>
                <xdr:row>6</xdr:row>
                <xdr:rowOff>0</xdr:rowOff>
              </from>
              <to>
                <xdr:col>8</xdr:col>
                <xdr:colOff>584200</xdr:colOff>
                <xdr:row>7</xdr:row>
                <xdr:rowOff>69850</xdr:rowOff>
              </to>
            </anchor>
          </controlPr>
        </control>
      </mc:Choice>
      <mc:Fallback>
        <control shapeId="10263" r:id="rId22" name="btnReset"/>
      </mc:Fallback>
    </mc:AlternateContent>
    <mc:AlternateContent xmlns:mc="http://schemas.openxmlformats.org/markup-compatibility/2006">
      <mc:Choice Requires="x14">
        <control shapeId="10270" r:id="rId24" name="cmdLUCF">
          <controlPr defaultSize="0" autoLine="0" autoPict="0" r:id="rId25">
            <anchor moveWithCells="1">
              <from>
                <xdr:col>3</xdr:col>
                <xdr:colOff>31750</xdr:colOff>
                <xdr:row>18</xdr:row>
                <xdr:rowOff>31750</xdr:rowOff>
              </from>
              <to>
                <xdr:col>5</xdr:col>
                <xdr:colOff>742950</xdr:colOff>
                <xdr:row>18</xdr:row>
                <xdr:rowOff>298450</xdr:rowOff>
              </to>
            </anchor>
          </controlPr>
        </control>
      </mc:Choice>
      <mc:Fallback>
        <control shapeId="10270" r:id="rId24" name="cmdLUCF"/>
      </mc:Fallback>
    </mc:AlternateContent>
    <mc:AlternateContent xmlns:mc="http://schemas.openxmlformats.org/markup-compatibility/2006">
      <mc:Choice Requires="x14">
        <control shapeId="10275" r:id="rId26" name="cmdIndirectCO2">
          <controlPr defaultSize="0" autoLine="0" autoPict="0" r:id="rId27">
            <anchor moveWithCells="1">
              <from>
                <xdr:col>3</xdr:col>
                <xdr:colOff>31750</xdr:colOff>
                <xdr:row>11</xdr:row>
                <xdr:rowOff>31750</xdr:rowOff>
              </from>
              <to>
                <xdr:col>5</xdr:col>
                <xdr:colOff>755650</xdr:colOff>
                <xdr:row>11</xdr:row>
                <xdr:rowOff>298450</xdr:rowOff>
              </to>
            </anchor>
          </controlPr>
        </control>
      </mc:Choice>
      <mc:Fallback>
        <control shapeId="10275" r:id="rId26" name="cmdIndirectCO2"/>
      </mc:Fallback>
    </mc:AlternateContent>
    <mc:AlternateContent xmlns:mc="http://schemas.openxmlformats.org/markup-compatibility/2006">
      <mc:Choice Requires="x14">
        <control shapeId="10241" r:id="rId28" name="Drop Down 1">
          <controlPr locked="0" defaultSize="0" autoLine="0" autoPict="0">
            <anchor moveWithCells="1">
              <from>
                <xdr:col>3</xdr:col>
                <xdr:colOff>107950</xdr:colOff>
                <xdr:row>6</xdr:row>
                <xdr:rowOff>0</xdr:rowOff>
              </from>
              <to>
                <xdr:col>4</xdr:col>
                <xdr:colOff>565150</xdr:colOff>
                <xdr:row>7</xdr:row>
                <xdr:rowOff>19050</xdr:rowOff>
              </to>
            </anchor>
          </controlPr>
        </control>
      </mc:Choice>
    </mc:AlternateContent>
  </control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081"/>
  <dimension ref="A1:BQ78"/>
  <sheetViews>
    <sheetView showGridLines="0" showRowColHeaders="0" workbookViewId="0">
      <selection activeCell="B3" sqref="B3"/>
    </sheetView>
  </sheetViews>
  <sheetFormatPr defaultRowHeight="12.5"/>
  <cols>
    <col min="1" max="1" width="4.26953125" customWidth="1"/>
    <col min="2" max="2" width="35" customWidth="1"/>
    <col min="3" max="3" width="10.81640625" bestFit="1" customWidth="1"/>
    <col min="4" max="8" width="9.54296875" bestFit="1" customWidth="1"/>
    <col min="13" max="18" width="10.26953125" customWidth="1"/>
    <col min="33" max="33" width="8.81640625" style="284"/>
    <col min="34" max="51" width="9.1796875" style="284" customWidth="1"/>
    <col min="52" max="52" width="12" style="284" customWidth="1"/>
    <col min="53" max="65" width="9.1796875" style="284" customWidth="1"/>
    <col min="66" max="67" width="8.81640625" style="284"/>
  </cols>
  <sheetData>
    <row r="1" spans="1:65" ht="48" customHeight="1">
      <c r="A1" s="426" t="str">
        <f>"Summary of Land-Use Change and Forest Emissions and Sequestration for "&amp;StateName</f>
        <v>Summary of Land-Use Change and Forest Emissions and Sequestration for Illinois</v>
      </c>
      <c r="B1" s="426"/>
      <c r="C1" s="426"/>
      <c r="D1" s="426"/>
      <c r="E1" s="426"/>
      <c r="F1" s="426"/>
      <c r="G1" s="426"/>
      <c r="AH1" s="17"/>
      <c r="AI1" s="17"/>
      <c r="AJ1" s="17"/>
      <c r="AK1" s="17"/>
      <c r="AL1" s="17"/>
      <c r="AM1" s="17"/>
      <c r="AN1" s="17"/>
      <c r="AO1" s="17"/>
      <c r="AP1" s="17"/>
      <c r="AQ1" s="17"/>
      <c r="AR1" s="17"/>
      <c r="AS1" s="17"/>
      <c r="AT1" s="17"/>
      <c r="AU1" s="17"/>
      <c r="AV1" s="17"/>
      <c r="AW1" s="17"/>
      <c r="AX1" s="17"/>
      <c r="AY1" s="17"/>
      <c r="AZ1" s="288">
        <v>45329.441721527779</v>
      </c>
      <c r="BA1" s="17"/>
      <c r="BB1" s="17"/>
      <c r="BC1" s="17"/>
      <c r="BD1" s="17"/>
      <c r="BE1" s="17"/>
      <c r="BF1" s="17"/>
      <c r="BG1" s="17"/>
      <c r="BH1" s="17"/>
      <c r="BI1" s="17"/>
      <c r="BJ1" s="17"/>
      <c r="BK1" s="17"/>
      <c r="BL1" s="17"/>
      <c r="BM1" s="17"/>
    </row>
    <row r="2" spans="1:65" ht="60.65" customHeight="1">
      <c r="AH2" s="17"/>
      <c r="AI2" s="17"/>
      <c r="AJ2" s="17"/>
      <c r="AK2" s="17"/>
      <c r="AL2" s="17"/>
      <c r="AM2" s="17"/>
      <c r="AN2" s="17"/>
      <c r="AO2" s="17"/>
      <c r="AP2" s="17"/>
      <c r="AQ2" s="17"/>
      <c r="AR2" s="17"/>
      <c r="AS2" s="17"/>
      <c r="AT2" s="17"/>
      <c r="AU2" s="17"/>
      <c r="AV2" s="17"/>
      <c r="AW2" s="17"/>
      <c r="AX2" s="17"/>
      <c r="AY2" s="17"/>
      <c r="AZ2" s="343" t="s">
        <v>160</v>
      </c>
      <c r="BA2" s="17"/>
      <c r="BB2" s="17"/>
      <c r="BC2" s="17"/>
      <c r="BD2" s="17"/>
      <c r="BE2" s="17"/>
      <c r="BF2" s="17"/>
      <c r="BG2" s="17"/>
      <c r="BH2" s="17"/>
      <c r="BI2" s="17"/>
      <c r="BJ2" s="17"/>
      <c r="BK2" s="17"/>
      <c r="BL2" s="17"/>
      <c r="BM2" s="17"/>
    </row>
    <row r="3" spans="1:65" ht="6" customHeight="1">
      <c r="AH3" s="17"/>
      <c r="AI3" s="17"/>
      <c r="AJ3" s="17"/>
      <c r="AK3" s="17"/>
      <c r="AL3" s="17"/>
      <c r="AM3" s="17"/>
      <c r="AN3" s="17"/>
      <c r="AO3" s="17"/>
      <c r="AP3" s="17"/>
      <c r="AQ3" s="17"/>
      <c r="AR3" s="17"/>
      <c r="AS3" s="17"/>
      <c r="AT3" s="17"/>
      <c r="AU3" s="17"/>
      <c r="AV3" s="17"/>
      <c r="AW3" s="17"/>
      <c r="AX3" s="17"/>
      <c r="AY3" s="17"/>
      <c r="AZ3" s="17"/>
      <c r="BA3" s="17"/>
      <c r="BB3" s="17"/>
      <c r="BC3" s="17"/>
      <c r="BD3" s="17"/>
      <c r="BE3" s="17"/>
      <c r="BF3" s="17"/>
      <c r="BG3" s="17"/>
      <c r="BH3" s="17"/>
      <c r="BI3" s="17"/>
      <c r="BJ3" s="17"/>
      <c r="BK3" s="17"/>
      <c r="BL3" s="17"/>
      <c r="BM3" s="17"/>
    </row>
    <row r="4" spans="1:65" ht="6" hidden="1" customHeight="1">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row>
    <row r="5" spans="1:65" ht="6" hidden="1" customHeight="1">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row>
    <row r="6" spans="1:65" ht="6" hidden="1" customHeight="1">
      <c r="O6" s="148"/>
      <c r="AH6" s="17"/>
      <c r="AI6" s="17"/>
      <c r="AJ6" s="17"/>
      <c r="AK6" s="17"/>
      <c r="AL6" s="17"/>
      <c r="AM6" s="17"/>
      <c r="AN6" s="17"/>
      <c r="AO6" s="17"/>
      <c r="AP6" s="17"/>
      <c r="AQ6" s="17"/>
      <c r="AR6" s="17"/>
      <c r="AS6" s="17"/>
      <c r="AT6" s="17"/>
      <c r="AU6" s="17"/>
      <c r="AV6" s="17"/>
      <c r="AW6" s="17"/>
      <c r="AX6" s="17"/>
      <c r="AY6" s="17"/>
      <c r="AZ6" s="17"/>
      <c r="BA6" s="17"/>
      <c r="BB6" s="17"/>
      <c r="BC6" s="17"/>
      <c r="BD6" s="17"/>
      <c r="BE6" s="17"/>
      <c r="BF6" s="17"/>
      <c r="BG6" s="17"/>
      <c r="BH6" s="17"/>
      <c r="BI6" s="17"/>
      <c r="BJ6" s="17"/>
      <c r="BK6" s="17"/>
      <c r="BL6" s="17"/>
      <c r="BM6" s="17"/>
    </row>
    <row r="7" spans="1:65" ht="6" hidden="1" customHeight="1">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c r="BK7" s="17"/>
      <c r="BL7" s="17"/>
      <c r="BM7" s="17"/>
    </row>
    <row r="8" spans="1:65" ht="14.5" thickBot="1">
      <c r="B8" s="123" t="s">
        <v>161</v>
      </c>
      <c r="C8" s="316"/>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285"/>
      <c r="AH8" s="285"/>
      <c r="AI8" s="285"/>
      <c r="AJ8" s="285"/>
      <c r="AK8" s="285"/>
      <c r="AL8" s="285"/>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c r="BM8" s="17"/>
    </row>
    <row r="9" spans="1:65" ht="14.5" thickBot="1">
      <c r="B9" s="150"/>
      <c r="C9" s="20">
        <v>1990</v>
      </c>
      <c r="D9" s="151">
        <v>1991</v>
      </c>
      <c r="E9" s="151">
        <v>1992</v>
      </c>
      <c r="F9" s="20">
        <v>1993</v>
      </c>
      <c r="G9" s="20">
        <v>1994</v>
      </c>
      <c r="H9" s="20">
        <v>1995</v>
      </c>
      <c r="I9" s="20">
        <v>1996</v>
      </c>
      <c r="J9" s="20">
        <v>1997</v>
      </c>
      <c r="K9" s="20">
        <v>1998</v>
      </c>
      <c r="L9" s="20">
        <v>1999</v>
      </c>
      <c r="M9" s="20">
        <v>2000</v>
      </c>
      <c r="N9" s="20">
        <v>2001</v>
      </c>
      <c r="O9" s="20">
        <v>2002</v>
      </c>
      <c r="P9" s="20">
        <v>2003</v>
      </c>
      <c r="Q9" s="20">
        <v>2004</v>
      </c>
      <c r="R9" s="20">
        <v>2005</v>
      </c>
      <c r="S9" s="20">
        <v>2006</v>
      </c>
      <c r="T9" s="20">
        <v>2007</v>
      </c>
      <c r="U9" s="20">
        <v>2008</v>
      </c>
      <c r="V9" s="20">
        <v>2009</v>
      </c>
      <c r="W9" s="20">
        <v>2010</v>
      </c>
      <c r="X9" s="20">
        <v>2011</v>
      </c>
      <c r="Y9" s="20">
        <v>2012</v>
      </c>
      <c r="Z9" s="20">
        <v>2013</v>
      </c>
      <c r="AA9" s="20">
        <v>2014</v>
      </c>
      <c r="AB9" s="20">
        <v>2015</v>
      </c>
      <c r="AC9" s="20">
        <v>2016</v>
      </c>
      <c r="AD9" s="20">
        <v>2017</v>
      </c>
      <c r="AE9" s="20">
        <v>2018</v>
      </c>
      <c r="AF9" s="20">
        <v>2019</v>
      </c>
      <c r="AG9" s="20">
        <v>2020</v>
      </c>
      <c r="AH9" s="20">
        <v>2021</v>
      </c>
      <c r="AI9" s="20">
        <v>2022</v>
      </c>
      <c r="AJ9" s="20">
        <v>2023</v>
      </c>
      <c r="AK9" s="20">
        <v>2024</v>
      </c>
      <c r="AL9" s="20">
        <v>2025</v>
      </c>
      <c r="AM9" s="176"/>
      <c r="AN9" s="176"/>
      <c r="AO9" s="17"/>
      <c r="AP9" s="17"/>
      <c r="AQ9" s="17"/>
      <c r="AR9" s="17"/>
      <c r="AS9" s="17"/>
      <c r="AT9" s="17"/>
      <c r="AU9" s="17"/>
      <c r="AV9" s="17"/>
      <c r="AW9" s="17"/>
      <c r="AX9" s="17"/>
      <c r="AY9" s="17"/>
      <c r="AZ9" s="17"/>
      <c r="BA9" s="17"/>
      <c r="BB9" s="17"/>
      <c r="BC9" s="17"/>
      <c r="BD9" s="17"/>
      <c r="BE9" s="17"/>
      <c r="BF9" s="17"/>
      <c r="BG9" s="17"/>
      <c r="BH9" s="17"/>
      <c r="BI9" s="17"/>
      <c r="BJ9" s="17"/>
      <c r="BK9" s="17"/>
      <c r="BL9" s="17"/>
      <c r="BM9" s="17"/>
    </row>
    <row r="10" spans="1:65" ht="14">
      <c r="B10" s="18" t="s">
        <v>162</v>
      </c>
      <c r="C10" s="47">
        <v>-7.2359629627281592</v>
      </c>
      <c r="D10" s="47">
        <v>-7.2059629627281598</v>
      </c>
      <c r="E10" s="47">
        <v>-7.1859629627281603</v>
      </c>
      <c r="F10" s="47">
        <v>-7.4372633921626665</v>
      </c>
      <c r="G10" s="47">
        <v>-7.4672633921626677</v>
      </c>
      <c r="H10" s="47">
        <v>-7.4672633921626659</v>
      </c>
      <c r="I10" s="47">
        <v>-7.4572633921626679</v>
      </c>
      <c r="J10" s="47">
        <v>-7.4472633921626663</v>
      </c>
      <c r="K10" s="47">
        <v>-7.4672633921626659</v>
      </c>
      <c r="L10" s="47">
        <v>-7.4372633921626665</v>
      </c>
      <c r="M10" s="47">
        <v>-7.3872633921626658</v>
      </c>
      <c r="N10" s="47">
        <v>-7.3572633921626664</v>
      </c>
      <c r="O10" s="47">
        <v>-7.3172633921626655</v>
      </c>
      <c r="P10" s="47">
        <v>-7.297263392162666</v>
      </c>
      <c r="Q10" s="47">
        <v>-7.307263392162664</v>
      </c>
      <c r="R10" s="47">
        <v>-7.2772633921626664</v>
      </c>
      <c r="S10" s="47">
        <v>-7.2772633921626664</v>
      </c>
      <c r="T10" s="47">
        <v>-7.2672633921626648</v>
      </c>
      <c r="U10" s="47">
        <v>-7.2472633921626652</v>
      </c>
      <c r="V10" s="47">
        <v>-7.2472633921626661</v>
      </c>
      <c r="W10" s="47">
        <v>-7.3272633921626662</v>
      </c>
      <c r="X10" s="47">
        <v>-7.3572633921626656</v>
      </c>
      <c r="Y10" s="47">
        <v>-7.4072633921626663</v>
      </c>
      <c r="Z10" s="47">
        <v>-7.4672633921626668</v>
      </c>
      <c r="AA10" s="47">
        <v>-7.4672633921626641</v>
      </c>
      <c r="AB10" s="47">
        <v>-7.5272633921626655</v>
      </c>
      <c r="AC10" s="47">
        <v>-7.4672633921626668</v>
      </c>
      <c r="AD10" s="47">
        <v>-7.3872633921626649</v>
      </c>
      <c r="AE10" s="47">
        <v>-7.3172633921626664</v>
      </c>
      <c r="AF10" s="47">
        <v>-7.2272633921626666</v>
      </c>
      <c r="AG10" s="47">
        <v>-7.1372633921626667</v>
      </c>
      <c r="AH10" s="47">
        <v>0</v>
      </c>
      <c r="AI10" s="47">
        <v>0</v>
      </c>
      <c r="AJ10" s="47">
        <v>0</v>
      </c>
      <c r="AK10" s="47">
        <v>0</v>
      </c>
      <c r="AL10" s="47">
        <v>0</v>
      </c>
      <c r="AM10" s="286"/>
      <c r="AN10" s="286"/>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row>
    <row r="11" spans="1:65" ht="14" hidden="1">
      <c r="B11" s="197" t="s">
        <v>163</v>
      </c>
      <c r="C11" s="47"/>
      <c r="D11" s="47"/>
      <c r="E11" s="47"/>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286"/>
      <c r="AN11" s="286"/>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row>
    <row r="12" spans="1:65" ht="14" hidden="1">
      <c r="B12" s="197" t="s">
        <v>164</v>
      </c>
      <c r="C12" s="47"/>
      <c r="D12" s="47"/>
      <c r="E12" s="47"/>
      <c r="F12" s="47"/>
      <c r="G12" s="47"/>
      <c r="H12" s="47"/>
      <c r="I12" s="47"/>
      <c r="J12" s="47"/>
      <c r="K12" s="47"/>
      <c r="L12" s="47"/>
      <c r="M12" s="47"/>
      <c r="N12" s="47"/>
      <c r="O12" s="47"/>
      <c r="P12" s="47"/>
      <c r="Q12" s="47"/>
      <c r="R12" s="47"/>
      <c r="S12" s="47"/>
      <c r="T12" s="47"/>
      <c r="U12" s="47"/>
      <c r="V12" s="47"/>
      <c r="W12" s="47"/>
      <c r="X12" s="47"/>
      <c r="Y12" s="47"/>
      <c r="Z12" s="47"/>
      <c r="AA12" s="47"/>
      <c r="AB12" s="47"/>
      <c r="AC12" s="47"/>
      <c r="AD12" s="47"/>
      <c r="AE12" s="47"/>
      <c r="AF12" s="47"/>
      <c r="AG12" s="47"/>
      <c r="AH12" s="47"/>
      <c r="AI12" s="47"/>
      <c r="AJ12" s="47"/>
      <c r="AK12" s="47"/>
      <c r="AL12" s="47"/>
      <c r="AM12" s="286"/>
      <c r="AN12" s="286"/>
      <c r="AO12" s="17"/>
      <c r="AP12" s="17"/>
      <c r="AQ12" s="17"/>
      <c r="AR12" s="17"/>
      <c r="AS12" s="17"/>
      <c r="AT12" s="17"/>
      <c r="AU12" s="17"/>
      <c r="AV12" s="17"/>
      <c r="AW12" s="17"/>
      <c r="AX12" s="17"/>
      <c r="AY12" s="17"/>
      <c r="AZ12" s="17"/>
      <c r="BA12" s="17"/>
      <c r="BB12" s="17"/>
      <c r="BC12" s="17"/>
      <c r="BD12" s="17"/>
      <c r="BE12" s="17"/>
      <c r="BF12" s="17"/>
      <c r="BG12" s="17"/>
      <c r="BH12" s="17"/>
      <c r="BI12" s="17"/>
      <c r="BJ12" s="17"/>
      <c r="BK12" s="17"/>
      <c r="BL12" s="17"/>
      <c r="BM12" s="17"/>
    </row>
    <row r="13" spans="1:65" ht="14" hidden="1">
      <c r="B13" s="197" t="s">
        <v>165</v>
      </c>
      <c r="C13" s="47"/>
      <c r="D13" s="47"/>
      <c r="E13" s="47"/>
      <c r="F13" s="47"/>
      <c r="G13" s="47"/>
      <c r="H13" s="47"/>
      <c r="I13" s="47"/>
      <c r="J13" s="47"/>
      <c r="K13" s="47"/>
      <c r="L13" s="47"/>
      <c r="M13" s="47"/>
      <c r="N13" s="47"/>
      <c r="O13" s="47"/>
      <c r="P13" s="47"/>
      <c r="Q13" s="47"/>
      <c r="R13" s="47"/>
      <c r="S13" s="47"/>
      <c r="T13" s="47"/>
      <c r="U13" s="47"/>
      <c r="V13" s="47"/>
      <c r="W13" s="47"/>
      <c r="X13" s="47"/>
      <c r="Y13" s="47"/>
      <c r="Z13" s="47"/>
      <c r="AA13" s="47"/>
      <c r="AB13" s="47"/>
      <c r="AC13" s="47"/>
      <c r="AD13" s="47"/>
      <c r="AE13" s="47"/>
      <c r="AF13" s="47"/>
      <c r="AG13" s="47"/>
      <c r="AH13" s="47"/>
      <c r="AI13" s="47"/>
      <c r="AJ13" s="47"/>
      <c r="AK13" s="47"/>
      <c r="AL13" s="47"/>
      <c r="AM13" s="286"/>
      <c r="AN13" s="286"/>
      <c r="AO13" s="17"/>
      <c r="AP13" s="17"/>
      <c r="AQ13" s="17"/>
      <c r="AR13" s="17"/>
      <c r="AS13" s="17"/>
      <c r="AT13" s="17"/>
      <c r="AU13" s="17"/>
      <c r="AV13" s="17"/>
      <c r="AW13" s="17"/>
      <c r="AX13" s="17"/>
      <c r="AY13" s="17"/>
      <c r="AZ13" s="17"/>
      <c r="BA13" s="17"/>
      <c r="BB13" s="17"/>
      <c r="BC13" s="17"/>
      <c r="BD13" s="17"/>
      <c r="BE13" s="17"/>
      <c r="BF13" s="17"/>
      <c r="BG13" s="17"/>
      <c r="BH13" s="17"/>
      <c r="BI13" s="17"/>
      <c r="BJ13" s="17"/>
      <c r="BK13" s="17"/>
      <c r="BL13" s="17"/>
      <c r="BM13" s="17"/>
    </row>
    <row r="14" spans="1:65" ht="14" hidden="1">
      <c r="B14" s="197" t="s">
        <v>166</v>
      </c>
      <c r="C14" s="47"/>
      <c r="D14" s="47"/>
      <c r="E14" s="47"/>
      <c r="F14" s="47"/>
      <c r="G14" s="47"/>
      <c r="H14" s="47"/>
      <c r="I14" s="47"/>
      <c r="J14" s="47"/>
      <c r="K14" s="47"/>
      <c r="L14" s="47"/>
      <c r="M14" s="47"/>
      <c r="N14" s="47"/>
      <c r="O14" s="47"/>
      <c r="P14" s="47"/>
      <c r="Q14" s="47"/>
      <c r="R14" s="47"/>
      <c r="S14" s="47"/>
      <c r="T14" s="47"/>
      <c r="U14" s="47"/>
      <c r="V14" s="47"/>
      <c r="W14" s="47"/>
      <c r="X14" s="47"/>
      <c r="Y14" s="47"/>
      <c r="Z14" s="47"/>
      <c r="AA14" s="47"/>
      <c r="AB14" s="47"/>
      <c r="AC14" s="47"/>
      <c r="AD14" s="47"/>
      <c r="AE14" s="47"/>
      <c r="AF14" s="47"/>
      <c r="AG14" s="47"/>
      <c r="AH14" s="47"/>
      <c r="AI14" s="47"/>
      <c r="AJ14" s="47"/>
      <c r="AK14" s="47"/>
      <c r="AL14" s="47"/>
      <c r="AM14" s="286"/>
      <c r="AN14" s="286"/>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65" ht="14" hidden="1">
      <c r="B15" s="197" t="s">
        <v>167</v>
      </c>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7"/>
      <c r="AD15" s="47"/>
      <c r="AE15" s="47"/>
      <c r="AF15" s="47"/>
      <c r="AG15" s="47"/>
      <c r="AH15" s="47"/>
      <c r="AI15" s="47"/>
      <c r="AJ15" s="47"/>
      <c r="AK15" s="47"/>
      <c r="AL15" s="47"/>
      <c r="AM15" s="286"/>
      <c r="AN15" s="286"/>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65" ht="14" hidden="1">
      <c r="B16" s="197" t="s">
        <v>168</v>
      </c>
      <c r="C16" s="47"/>
      <c r="D16" s="47"/>
      <c r="E16" s="47"/>
      <c r="F16" s="47"/>
      <c r="G16" s="47"/>
      <c r="H16" s="47"/>
      <c r="I16" s="47"/>
      <c r="J16" s="47"/>
      <c r="K16" s="47"/>
      <c r="L16" s="47"/>
      <c r="M16" s="47"/>
      <c r="N16" s="47"/>
      <c r="O16" s="47"/>
      <c r="P16" s="47"/>
      <c r="Q16" s="47"/>
      <c r="R16" s="47"/>
      <c r="S16" s="47"/>
      <c r="T16" s="47"/>
      <c r="U16" s="47"/>
      <c r="V16" s="47"/>
      <c r="W16" s="47"/>
      <c r="X16" s="47"/>
      <c r="Y16" s="47"/>
      <c r="Z16" s="47"/>
      <c r="AA16" s="47"/>
      <c r="AB16" s="47"/>
      <c r="AC16" s="47"/>
      <c r="AD16" s="47"/>
      <c r="AE16" s="47"/>
      <c r="AF16" s="47"/>
      <c r="AG16" s="47"/>
      <c r="AH16" s="47"/>
      <c r="AI16" s="47"/>
      <c r="AJ16" s="47"/>
      <c r="AK16" s="47"/>
      <c r="AL16" s="47"/>
      <c r="AM16" s="286"/>
      <c r="AN16" s="286"/>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2:69" ht="14" hidden="1">
      <c r="B17" s="197" t="s">
        <v>169</v>
      </c>
      <c r="C17" s="47"/>
      <c r="D17" s="47"/>
      <c r="E17" s="47"/>
      <c r="F17" s="47"/>
      <c r="G17" s="47"/>
      <c r="H17" s="47"/>
      <c r="I17" s="47"/>
      <c r="J17" s="47"/>
      <c r="K17" s="47"/>
      <c r="L17" s="47"/>
      <c r="M17" s="47"/>
      <c r="N17" s="47"/>
      <c r="O17" s="47"/>
      <c r="P17" s="47"/>
      <c r="Q17" s="47"/>
      <c r="R17" s="47"/>
      <c r="S17" s="47"/>
      <c r="T17" s="47"/>
      <c r="U17" s="47"/>
      <c r="V17" s="47"/>
      <c r="W17" s="47"/>
      <c r="X17" s="47"/>
      <c r="Y17" s="47"/>
      <c r="Z17" s="47"/>
      <c r="AA17" s="47"/>
      <c r="AB17" s="47"/>
      <c r="AC17" s="47"/>
      <c r="AD17" s="47"/>
      <c r="AE17" s="47"/>
      <c r="AF17" s="47"/>
      <c r="AG17" s="47"/>
      <c r="AH17" s="47"/>
      <c r="AI17" s="47"/>
      <c r="AJ17" s="47"/>
      <c r="AK17" s="47"/>
      <c r="AL17" s="47"/>
      <c r="AM17" s="286"/>
      <c r="AN17" s="286"/>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row>
    <row r="18" spans="2:69" ht="14" hidden="1">
      <c r="B18" s="198" t="s">
        <v>170</v>
      </c>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286"/>
      <c r="AN18" s="286"/>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row>
    <row r="19" spans="2:69" ht="14">
      <c r="B19" s="23" t="s">
        <v>171</v>
      </c>
      <c r="C19" s="47">
        <v>-5.9559629627281581</v>
      </c>
      <c r="D19" s="47">
        <v>-5.9259629627281587</v>
      </c>
      <c r="E19" s="47">
        <v>-5.9059629627281591</v>
      </c>
      <c r="F19" s="47">
        <v>-6.1572633921626663</v>
      </c>
      <c r="G19" s="47">
        <v>-6.1472633921626665</v>
      </c>
      <c r="H19" s="47">
        <v>-6.1372633921626658</v>
      </c>
      <c r="I19" s="47">
        <v>-6.1272633921626669</v>
      </c>
      <c r="J19" s="47">
        <v>-6.127263392162666</v>
      </c>
      <c r="K19" s="47">
        <v>-6.127263392162666</v>
      </c>
      <c r="L19" s="47">
        <v>-6.087263392162666</v>
      </c>
      <c r="M19" s="47">
        <v>-6.0372633921626662</v>
      </c>
      <c r="N19" s="47">
        <v>-5.9972633921626661</v>
      </c>
      <c r="O19" s="47">
        <v>-5.9472633921626654</v>
      </c>
      <c r="P19" s="47">
        <v>-5.9072633921626663</v>
      </c>
      <c r="Q19" s="47">
        <v>-5.8972633921626656</v>
      </c>
      <c r="R19" s="47">
        <v>-5.8672633921626662</v>
      </c>
      <c r="S19" s="47">
        <v>-5.8572633921626664</v>
      </c>
      <c r="T19" s="47">
        <v>-5.837263392162666</v>
      </c>
      <c r="U19" s="47">
        <v>-5.8072633921626657</v>
      </c>
      <c r="V19" s="47">
        <v>-5.797263392162666</v>
      </c>
      <c r="W19" s="47">
        <v>-5.8472633921626667</v>
      </c>
      <c r="X19" s="47">
        <v>-5.877263392162666</v>
      </c>
      <c r="Y19" s="47">
        <v>-5.9172633921626661</v>
      </c>
      <c r="Z19" s="47">
        <v>-5.9672633921626659</v>
      </c>
      <c r="AA19" s="47">
        <v>-6.007263392162665</v>
      </c>
      <c r="AB19" s="47">
        <v>-6.0572633921626657</v>
      </c>
      <c r="AC19" s="47">
        <v>-5.9772633921626657</v>
      </c>
      <c r="AD19" s="47">
        <v>-5.8972633921626656</v>
      </c>
      <c r="AE19" s="47">
        <v>-5.8272633921626662</v>
      </c>
      <c r="AF19" s="47">
        <v>-5.7372633921626663</v>
      </c>
      <c r="AG19" s="47">
        <v>-5.6472633921626665</v>
      </c>
      <c r="AH19" s="47">
        <v>0</v>
      </c>
      <c r="AI19" s="47">
        <v>0</v>
      </c>
      <c r="AJ19" s="47">
        <v>0</v>
      </c>
      <c r="AK19" s="47">
        <v>0</v>
      </c>
      <c r="AL19" s="47">
        <v>0</v>
      </c>
      <c r="AM19"/>
      <c r="AN19"/>
      <c r="AO19"/>
      <c r="AP19"/>
      <c r="AQ19"/>
      <c r="AR19"/>
      <c r="AS19"/>
      <c r="AT19"/>
      <c r="AU19"/>
      <c r="AV19"/>
      <c r="AW19"/>
      <c r="AX19"/>
      <c r="AY19"/>
      <c r="AZ19"/>
      <c r="BA19"/>
      <c r="BB19"/>
      <c r="BC19"/>
      <c r="BD19"/>
      <c r="BE19"/>
      <c r="BF19"/>
      <c r="BG19"/>
      <c r="BH19"/>
      <c r="BI19"/>
      <c r="BJ19"/>
      <c r="BK19"/>
      <c r="BL19"/>
      <c r="BM19"/>
      <c r="BN19"/>
      <c r="BO19"/>
    </row>
    <row r="20" spans="2:69" ht="14">
      <c r="B20" s="317" t="s">
        <v>163</v>
      </c>
      <c r="C20" s="47">
        <v>-3.01</v>
      </c>
      <c r="D20" s="47">
        <v>-3</v>
      </c>
      <c r="E20" s="47">
        <v>-2.98</v>
      </c>
      <c r="F20" s="47">
        <v>-2.97</v>
      </c>
      <c r="G20" s="47">
        <v>-2.96</v>
      </c>
      <c r="H20" s="47">
        <v>-2.95</v>
      </c>
      <c r="I20" s="47">
        <v>-2.94</v>
      </c>
      <c r="J20" s="47">
        <v>-2.94</v>
      </c>
      <c r="K20" s="47">
        <v>-2.93</v>
      </c>
      <c r="L20" s="47">
        <v>-2.91</v>
      </c>
      <c r="M20" s="47">
        <v>-2.89</v>
      </c>
      <c r="N20" s="47">
        <v>-2.87</v>
      </c>
      <c r="O20" s="47">
        <v>-2.85</v>
      </c>
      <c r="P20" s="47">
        <v>-2.83</v>
      </c>
      <c r="Q20" s="47">
        <v>-2.82</v>
      </c>
      <c r="R20" s="47">
        <v>-2.8</v>
      </c>
      <c r="S20" s="47">
        <v>-2.79</v>
      </c>
      <c r="T20" s="47">
        <v>-2.77</v>
      </c>
      <c r="U20" s="47">
        <v>-2.76</v>
      </c>
      <c r="V20" s="47">
        <v>-2.74</v>
      </c>
      <c r="W20" s="47">
        <v>-2.77</v>
      </c>
      <c r="X20" s="47">
        <v>-2.79</v>
      </c>
      <c r="Y20" s="47">
        <v>-2.81</v>
      </c>
      <c r="Z20" s="47">
        <v>-2.84</v>
      </c>
      <c r="AA20" s="47">
        <v>-2.86</v>
      </c>
      <c r="AB20" s="47">
        <v>-2.88</v>
      </c>
      <c r="AC20" s="47">
        <v>-2.82</v>
      </c>
      <c r="AD20" s="47">
        <v>-2.75</v>
      </c>
      <c r="AE20" s="47">
        <v>-2.68</v>
      </c>
      <c r="AF20" s="47">
        <v>-2.61</v>
      </c>
      <c r="AG20" s="47">
        <v>-2.54</v>
      </c>
      <c r="AH20" s="47">
        <v>0</v>
      </c>
      <c r="AI20" s="47">
        <v>0</v>
      </c>
      <c r="AJ20" s="47">
        <v>0</v>
      </c>
      <c r="AK20" s="47">
        <v>0</v>
      </c>
      <c r="AL20" s="47">
        <v>0</v>
      </c>
      <c r="AM20"/>
      <c r="AN20"/>
      <c r="AO20"/>
      <c r="AP20"/>
      <c r="AQ20"/>
      <c r="AR20"/>
      <c r="AS20"/>
      <c r="AT20"/>
      <c r="AU20"/>
      <c r="AV20"/>
      <c r="AW20"/>
      <c r="AX20"/>
      <c r="AY20"/>
      <c r="AZ20"/>
      <c r="BA20"/>
      <c r="BB20"/>
      <c r="BC20"/>
      <c r="BD20"/>
      <c r="BE20"/>
      <c r="BF20"/>
      <c r="BG20"/>
      <c r="BH20"/>
      <c r="BI20"/>
      <c r="BJ20"/>
      <c r="BK20"/>
      <c r="BL20"/>
      <c r="BM20"/>
      <c r="BN20"/>
      <c r="BO20"/>
    </row>
    <row r="21" spans="2:69" ht="14">
      <c r="B21" s="317" t="s">
        <v>164</v>
      </c>
      <c r="C21" s="47">
        <v>-0.56999999999999995</v>
      </c>
      <c r="D21" s="47">
        <v>-0.56000000000000005</v>
      </c>
      <c r="E21" s="47">
        <v>-0.56000000000000005</v>
      </c>
      <c r="F21" s="47">
        <v>-0.56000000000000005</v>
      </c>
      <c r="G21" s="47">
        <v>-0.56000000000000005</v>
      </c>
      <c r="H21" s="47">
        <v>-0.55000000000000004</v>
      </c>
      <c r="I21" s="47">
        <v>-0.55000000000000004</v>
      </c>
      <c r="J21" s="47">
        <v>-0.55000000000000004</v>
      </c>
      <c r="K21" s="47">
        <v>-0.55000000000000004</v>
      </c>
      <c r="L21" s="47">
        <v>-0.55000000000000004</v>
      </c>
      <c r="M21" s="47">
        <v>-0.54</v>
      </c>
      <c r="N21" s="47">
        <v>-0.54</v>
      </c>
      <c r="O21" s="47">
        <v>-0.53</v>
      </c>
      <c r="P21" s="47">
        <v>-0.53</v>
      </c>
      <c r="Q21" s="47">
        <v>-0.53</v>
      </c>
      <c r="R21" s="47">
        <v>-0.52</v>
      </c>
      <c r="S21" s="47">
        <v>-0.52</v>
      </c>
      <c r="T21" s="47">
        <v>-0.52</v>
      </c>
      <c r="U21" s="47">
        <v>-0.51</v>
      </c>
      <c r="V21" s="47">
        <v>-0.51</v>
      </c>
      <c r="W21" s="47">
        <v>-0.52</v>
      </c>
      <c r="X21" s="47">
        <v>-0.52</v>
      </c>
      <c r="Y21" s="47">
        <v>-0.52</v>
      </c>
      <c r="Z21" s="47">
        <v>-0.53</v>
      </c>
      <c r="AA21" s="47">
        <v>-0.53</v>
      </c>
      <c r="AB21" s="47">
        <v>-0.54</v>
      </c>
      <c r="AC21" s="47">
        <v>-0.52</v>
      </c>
      <c r="AD21" s="47">
        <v>-0.51</v>
      </c>
      <c r="AE21" s="47">
        <v>-0.5</v>
      </c>
      <c r="AF21" s="47">
        <v>-0.49</v>
      </c>
      <c r="AG21" s="47">
        <v>-0.47</v>
      </c>
      <c r="AH21" s="47">
        <v>0</v>
      </c>
      <c r="AI21" s="47">
        <v>0</v>
      </c>
      <c r="AJ21" s="47">
        <v>0</v>
      </c>
      <c r="AK21" s="47">
        <v>0</v>
      </c>
      <c r="AL21" s="47">
        <v>0</v>
      </c>
      <c r="AM21"/>
      <c r="AN21"/>
      <c r="AO21"/>
      <c r="AP21"/>
      <c r="AQ21"/>
      <c r="AR21"/>
      <c r="AS21"/>
      <c r="AT21"/>
      <c r="AU21"/>
      <c r="AV21"/>
      <c r="AW21"/>
      <c r="AX21"/>
      <c r="AY21"/>
      <c r="AZ21"/>
      <c r="BA21"/>
      <c r="BB21"/>
      <c r="BC21"/>
      <c r="BD21"/>
      <c r="BE21"/>
      <c r="BF21"/>
      <c r="BG21"/>
      <c r="BH21"/>
      <c r="BI21"/>
      <c r="BJ21"/>
      <c r="BK21"/>
      <c r="BL21"/>
      <c r="BM21"/>
      <c r="BN21"/>
      <c r="BO21"/>
    </row>
    <row r="22" spans="2:69" ht="14">
      <c r="B22" s="317" t="s">
        <v>172</v>
      </c>
      <c r="C22" s="47">
        <v>-0.99</v>
      </c>
      <c r="D22" s="47">
        <v>-0.99</v>
      </c>
      <c r="E22" s="47">
        <v>-1</v>
      </c>
      <c r="F22" s="47">
        <v>-1</v>
      </c>
      <c r="G22" s="47">
        <v>-1.01</v>
      </c>
      <c r="H22" s="47">
        <v>-1.02</v>
      </c>
      <c r="I22" s="47">
        <v>-1.03</v>
      </c>
      <c r="J22" s="47">
        <v>-1.04</v>
      </c>
      <c r="K22" s="47">
        <v>-1.05</v>
      </c>
      <c r="L22" s="47">
        <v>-1.04</v>
      </c>
      <c r="M22" s="47">
        <v>-1.03</v>
      </c>
      <c r="N22" s="47">
        <v>-1.02</v>
      </c>
      <c r="O22" s="47">
        <v>-1.01</v>
      </c>
      <c r="P22" s="47">
        <v>-1.01</v>
      </c>
      <c r="Q22" s="47">
        <v>-1.01</v>
      </c>
      <c r="R22" s="47">
        <v>-1.02</v>
      </c>
      <c r="S22" s="47">
        <v>-1.02</v>
      </c>
      <c r="T22" s="47">
        <v>-1.03</v>
      </c>
      <c r="U22" s="47">
        <v>-1.03</v>
      </c>
      <c r="V22" s="47">
        <v>-1.04</v>
      </c>
      <c r="W22" s="47">
        <v>-1.07</v>
      </c>
      <c r="X22" s="47">
        <v>-1.0900000000000001</v>
      </c>
      <c r="Y22" s="47">
        <v>-1.1200000000000001</v>
      </c>
      <c r="Z22" s="47">
        <v>-1.1499999999999999</v>
      </c>
      <c r="AA22" s="47">
        <v>-1.18</v>
      </c>
      <c r="AB22" s="47">
        <v>-1.21</v>
      </c>
      <c r="AC22" s="47">
        <v>-1.22</v>
      </c>
      <c r="AD22" s="47">
        <v>-1.22</v>
      </c>
      <c r="AE22" s="47">
        <v>-1.23</v>
      </c>
      <c r="AF22" s="47">
        <v>-1.23</v>
      </c>
      <c r="AG22" s="47">
        <v>-1.24</v>
      </c>
      <c r="AH22" s="47">
        <v>0</v>
      </c>
      <c r="AI22" s="47">
        <v>0</v>
      </c>
      <c r="AJ22" s="47">
        <v>0</v>
      </c>
      <c r="AK22" s="47">
        <v>0</v>
      </c>
      <c r="AL22" s="47">
        <v>0</v>
      </c>
      <c r="AM22"/>
      <c r="AN22"/>
      <c r="AO22"/>
      <c r="AP22"/>
      <c r="AQ22"/>
      <c r="AR22"/>
      <c r="AS22"/>
      <c r="AT22"/>
      <c r="AU22"/>
      <c r="AV22"/>
      <c r="AW22"/>
      <c r="AX22"/>
      <c r="AY22"/>
      <c r="AZ22"/>
      <c r="BA22"/>
      <c r="BB22"/>
      <c r="BC22"/>
      <c r="BD22"/>
      <c r="BE22"/>
      <c r="BF22"/>
      <c r="BG22"/>
      <c r="BH22"/>
      <c r="BI22"/>
      <c r="BJ22"/>
      <c r="BK22"/>
      <c r="BL22"/>
      <c r="BM22"/>
      <c r="BN22"/>
      <c r="BO22"/>
    </row>
    <row r="23" spans="2:69" ht="14">
      <c r="B23" s="317" t="s">
        <v>166</v>
      </c>
      <c r="C23" s="47">
        <v>-0.06</v>
      </c>
      <c r="D23" s="47">
        <v>-0.06</v>
      </c>
      <c r="E23" s="47">
        <v>-0.06</v>
      </c>
      <c r="F23" s="47">
        <v>-0.06</v>
      </c>
      <c r="G23" s="47">
        <v>-0.06</v>
      </c>
      <c r="H23" s="47">
        <v>-0.06</v>
      </c>
      <c r="I23" s="47">
        <v>-0.05</v>
      </c>
      <c r="J23" s="47">
        <v>-0.05</v>
      </c>
      <c r="K23" s="47">
        <v>-0.05</v>
      </c>
      <c r="L23" s="47">
        <v>-0.05</v>
      </c>
      <c r="M23" s="47">
        <v>-0.05</v>
      </c>
      <c r="N23" s="47">
        <v>-0.05</v>
      </c>
      <c r="O23" s="47">
        <v>-0.05</v>
      </c>
      <c r="P23" s="47">
        <v>-0.05</v>
      </c>
      <c r="Q23" s="47">
        <v>-0.05</v>
      </c>
      <c r="R23" s="47">
        <v>-0.05</v>
      </c>
      <c r="S23" s="47">
        <v>-0.05</v>
      </c>
      <c r="T23" s="47">
        <v>-0.05</v>
      </c>
      <c r="U23" s="47">
        <v>-0.05</v>
      </c>
      <c r="V23" s="47">
        <v>-0.05</v>
      </c>
      <c r="W23" s="47">
        <v>-0.05</v>
      </c>
      <c r="X23" s="47">
        <v>-0.05</v>
      </c>
      <c r="Y23" s="47">
        <v>-0.05</v>
      </c>
      <c r="Z23" s="47">
        <v>-0.05</v>
      </c>
      <c r="AA23" s="47">
        <v>-0.05</v>
      </c>
      <c r="AB23" s="47">
        <v>-0.05</v>
      </c>
      <c r="AC23" s="47">
        <v>-0.05</v>
      </c>
      <c r="AD23" s="47">
        <v>-0.05</v>
      </c>
      <c r="AE23" s="47">
        <v>-0.05</v>
      </c>
      <c r="AF23" s="47">
        <v>-0.04</v>
      </c>
      <c r="AG23" s="47">
        <v>-0.04</v>
      </c>
      <c r="AH23" s="47">
        <v>0</v>
      </c>
      <c r="AI23" s="47">
        <v>0</v>
      </c>
      <c r="AJ23" s="47">
        <v>0</v>
      </c>
      <c r="AK23" s="47">
        <v>0</v>
      </c>
      <c r="AL23" s="47">
        <v>0</v>
      </c>
      <c r="AM23"/>
      <c r="AN23"/>
      <c r="AO23"/>
      <c r="AP23"/>
      <c r="AQ23"/>
      <c r="AR23"/>
      <c r="AS23"/>
      <c r="AT23"/>
      <c r="AU23"/>
      <c r="AV23"/>
      <c r="AW23"/>
      <c r="AX23"/>
      <c r="AY23"/>
      <c r="AZ23"/>
      <c r="BA23"/>
      <c r="BB23"/>
      <c r="BC23"/>
      <c r="BD23"/>
      <c r="BE23"/>
      <c r="BF23"/>
      <c r="BG23"/>
      <c r="BH23"/>
      <c r="BI23"/>
      <c r="BJ23"/>
      <c r="BK23"/>
      <c r="BL23"/>
      <c r="BM23"/>
      <c r="BN23"/>
      <c r="BO23"/>
    </row>
    <row r="24" spans="2:69" ht="14">
      <c r="B24" s="317" t="s">
        <v>167</v>
      </c>
      <c r="C24" s="47">
        <v>-0.26</v>
      </c>
      <c r="D24" s="47">
        <v>-0.25</v>
      </c>
      <c r="E24" s="47">
        <v>-0.24</v>
      </c>
      <c r="F24" s="47">
        <v>-0.24</v>
      </c>
      <c r="G24" s="47">
        <v>-0.23</v>
      </c>
      <c r="H24" s="47">
        <v>-0.23</v>
      </c>
      <c r="I24" s="47">
        <v>-0.23</v>
      </c>
      <c r="J24" s="47">
        <v>-0.22</v>
      </c>
      <c r="K24" s="47">
        <v>-0.22</v>
      </c>
      <c r="L24" s="47">
        <v>-0.21</v>
      </c>
      <c r="M24" s="47">
        <v>-0.2</v>
      </c>
      <c r="N24" s="47">
        <v>-0.19</v>
      </c>
      <c r="O24" s="47">
        <v>-0.18</v>
      </c>
      <c r="P24" s="47">
        <v>-0.16</v>
      </c>
      <c r="Q24" s="47">
        <v>-0.16</v>
      </c>
      <c r="R24" s="47">
        <v>-0.15</v>
      </c>
      <c r="S24" s="47">
        <v>-0.15</v>
      </c>
      <c r="T24" s="47">
        <v>-0.14000000000000001</v>
      </c>
      <c r="U24" s="47">
        <v>-0.13</v>
      </c>
      <c r="V24" s="47">
        <v>-0.13</v>
      </c>
      <c r="W24" s="47">
        <v>-0.11</v>
      </c>
      <c r="X24" s="47">
        <v>-0.1</v>
      </c>
      <c r="Y24" s="47">
        <v>-0.09</v>
      </c>
      <c r="Z24" s="47">
        <v>-7.0000000000000007E-2</v>
      </c>
      <c r="AA24" s="47">
        <v>-0.06</v>
      </c>
      <c r="AB24" s="47">
        <v>-0.05</v>
      </c>
      <c r="AC24" s="47">
        <v>-0.04</v>
      </c>
      <c r="AD24" s="47">
        <v>-0.04</v>
      </c>
      <c r="AE24" s="47">
        <v>-0.04</v>
      </c>
      <c r="AF24" s="47">
        <v>-0.04</v>
      </c>
      <c r="AG24" s="47">
        <v>-0.03</v>
      </c>
      <c r="AH24" s="47">
        <v>0</v>
      </c>
      <c r="AI24" s="47">
        <v>0</v>
      </c>
      <c r="AJ24" s="47">
        <v>0</v>
      </c>
      <c r="AK24" s="47">
        <v>0</v>
      </c>
      <c r="AL24" s="47">
        <v>0</v>
      </c>
      <c r="AM24"/>
      <c r="AN24"/>
      <c r="AO24"/>
      <c r="AP24"/>
      <c r="AQ24"/>
      <c r="AR24"/>
      <c r="AS24"/>
      <c r="AT24"/>
      <c r="AU24"/>
      <c r="AV24"/>
      <c r="AW24"/>
      <c r="AX24"/>
      <c r="AY24"/>
      <c r="AZ24"/>
      <c r="BA24"/>
      <c r="BB24"/>
      <c r="BC24"/>
      <c r="BD24"/>
      <c r="BE24"/>
      <c r="BF24"/>
      <c r="BG24"/>
      <c r="BH24"/>
      <c r="BI24"/>
      <c r="BJ24"/>
      <c r="BK24"/>
      <c r="BL24"/>
      <c r="BM24"/>
      <c r="BN24"/>
      <c r="BO24"/>
    </row>
    <row r="25" spans="2:69" ht="14">
      <c r="B25" s="317" t="s">
        <v>168</v>
      </c>
      <c r="C25" s="47">
        <v>0</v>
      </c>
      <c r="D25" s="47">
        <v>0</v>
      </c>
      <c r="E25" s="47">
        <v>0</v>
      </c>
      <c r="F25" s="47">
        <v>0</v>
      </c>
      <c r="G25" s="47">
        <v>0</v>
      </c>
      <c r="H25" s="47">
        <v>0</v>
      </c>
      <c r="I25" s="47">
        <v>0</v>
      </c>
      <c r="J25" s="47">
        <v>0</v>
      </c>
      <c r="K25" s="47">
        <v>0</v>
      </c>
      <c r="L25" s="47">
        <v>0</v>
      </c>
      <c r="M25" s="47">
        <v>0</v>
      </c>
      <c r="N25" s="47">
        <v>0</v>
      </c>
      <c r="O25" s="47">
        <v>0</v>
      </c>
      <c r="P25" s="47">
        <v>0</v>
      </c>
      <c r="Q25" s="47">
        <v>0</v>
      </c>
      <c r="R25" s="47">
        <v>0</v>
      </c>
      <c r="S25" s="47">
        <v>0</v>
      </c>
      <c r="T25" s="47">
        <v>0</v>
      </c>
      <c r="U25" s="47">
        <v>0</v>
      </c>
      <c r="V25" s="47">
        <v>0</v>
      </c>
      <c r="W25" s="47">
        <v>0</v>
      </c>
      <c r="X25" s="47">
        <v>0</v>
      </c>
      <c r="Y25" s="47">
        <v>0</v>
      </c>
      <c r="Z25" s="47">
        <v>0</v>
      </c>
      <c r="AA25" s="47">
        <v>0</v>
      </c>
      <c r="AB25" s="47">
        <v>0</v>
      </c>
      <c r="AC25" s="47">
        <v>0</v>
      </c>
      <c r="AD25" s="47">
        <v>0</v>
      </c>
      <c r="AE25" s="47">
        <v>0</v>
      </c>
      <c r="AF25" s="47">
        <v>0</v>
      </c>
      <c r="AG25" s="47">
        <v>0</v>
      </c>
      <c r="AH25" s="47">
        <v>0</v>
      </c>
      <c r="AI25" s="47">
        <v>0</v>
      </c>
      <c r="AJ25" s="47">
        <v>0</v>
      </c>
      <c r="AK25" s="47">
        <v>0</v>
      </c>
      <c r="AL25" s="47">
        <v>0</v>
      </c>
      <c r="AM25"/>
      <c r="AN25"/>
      <c r="AO25"/>
      <c r="AP25"/>
      <c r="AQ25"/>
      <c r="AR25"/>
      <c r="AS25"/>
      <c r="AT25"/>
      <c r="AU25"/>
      <c r="AV25"/>
      <c r="AW25"/>
      <c r="AX25"/>
      <c r="AY25"/>
      <c r="AZ25"/>
      <c r="BA25"/>
      <c r="BB25"/>
      <c r="BC25"/>
      <c r="BD25"/>
      <c r="BE25"/>
      <c r="BF25"/>
      <c r="BG25"/>
      <c r="BH25"/>
      <c r="BI25"/>
      <c r="BJ25"/>
      <c r="BK25"/>
      <c r="BL25"/>
      <c r="BM25"/>
      <c r="BN25"/>
      <c r="BO25"/>
    </row>
    <row r="26" spans="2:69" ht="14">
      <c r="B26" s="317" t="s">
        <v>169</v>
      </c>
      <c r="C26" s="47">
        <v>0</v>
      </c>
      <c r="D26" s="47">
        <v>0</v>
      </c>
      <c r="E26" s="47">
        <v>0</v>
      </c>
      <c r="F26" s="47">
        <v>0</v>
      </c>
      <c r="G26" s="47">
        <v>0</v>
      </c>
      <c r="H26" s="47">
        <v>0</v>
      </c>
      <c r="I26" s="47">
        <v>0</v>
      </c>
      <c r="J26" s="47">
        <v>0</v>
      </c>
      <c r="K26" s="47">
        <v>0</v>
      </c>
      <c r="L26" s="47">
        <v>0</v>
      </c>
      <c r="M26" s="47">
        <v>0</v>
      </c>
      <c r="N26" s="47">
        <v>0</v>
      </c>
      <c r="O26" s="47">
        <v>0</v>
      </c>
      <c r="P26" s="47">
        <v>0</v>
      </c>
      <c r="Q26" s="47">
        <v>0</v>
      </c>
      <c r="R26" s="47">
        <v>0</v>
      </c>
      <c r="S26" s="47">
        <v>0</v>
      </c>
      <c r="T26" s="47">
        <v>0</v>
      </c>
      <c r="U26" s="47">
        <v>0</v>
      </c>
      <c r="V26" s="47">
        <v>0</v>
      </c>
      <c r="W26" s="47">
        <v>0</v>
      </c>
      <c r="X26" s="47">
        <v>0</v>
      </c>
      <c r="Y26" s="47">
        <v>0</v>
      </c>
      <c r="Z26" s="47">
        <v>0</v>
      </c>
      <c r="AA26" s="47">
        <v>0</v>
      </c>
      <c r="AB26" s="47">
        <v>0</v>
      </c>
      <c r="AC26" s="47">
        <v>0</v>
      </c>
      <c r="AD26" s="47">
        <v>0</v>
      </c>
      <c r="AE26" s="47">
        <v>0</v>
      </c>
      <c r="AF26" s="47">
        <v>0</v>
      </c>
      <c r="AG26" s="47">
        <v>0</v>
      </c>
      <c r="AH26" s="47">
        <v>0</v>
      </c>
      <c r="AI26" s="47">
        <v>0</v>
      </c>
      <c r="AJ26" s="47">
        <v>0</v>
      </c>
      <c r="AK26" s="47">
        <v>0</v>
      </c>
      <c r="AL26" s="47">
        <v>0</v>
      </c>
      <c r="AM26"/>
      <c r="AN26"/>
      <c r="AO26"/>
      <c r="AP26"/>
      <c r="AQ26"/>
      <c r="AR26"/>
      <c r="AS26"/>
      <c r="AT26"/>
      <c r="AU26"/>
      <c r="AV26"/>
      <c r="AW26"/>
      <c r="AX26"/>
      <c r="AY26"/>
      <c r="AZ26"/>
      <c r="BA26"/>
      <c r="BB26"/>
      <c r="BC26"/>
      <c r="BD26"/>
      <c r="BE26"/>
      <c r="BF26"/>
      <c r="BG26"/>
      <c r="BH26"/>
      <c r="BI26"/>
      <c r="BJ26"/>
      <c r="BK26"/>
      <c r="BL26"/>
      <c r="BM26"/>
      <c r="BN26"/>
      <c r="BO26"/>
    </row>
    <row r="27" spans="2:69" ht="14">
      <c r="B27" s="318" t="s">
        <v>173</v>
      </c>
      <c r="C27" s="47">
        <v>-1.0659629627281595</v>
      </c>
      <c r="D27" s="47">
        <v>-1.0659629627281595</v>
      </c>
      <c r="E27" s="47">
        <v>-1.0659629627281595</v>
      </c>
      <c r="F27" s="47">
        <v>-1.3272633921626664</v>
      </c>
      <c r="G27" s="47">
        <v>-1.3272633921626664</v>
      </c>
      <c r="H27" s="47">
        <v>-1.3272633921626664</v>
      </c>
      <c r="I27" s="47">
        <v>-1.3272633921626664</v>
      </c>
      <c r="J27" s="47">
        <v>-1.3272633921626664</v>
      </c>
      <c r="K27" s="47">
        <v>-1.3272633921626664</v>
      </c>
      <c r="L27" s="47">
        <v>-1.3272633921626664</v>
      </c>
      <c r="M27" s="47">
        <v>-1.3272633921626664</v>
      </c>
      <c r="N27" s="47">
        <v>-1.3272633921626664</v>
      </c>
      <c r="O27" s="47">
        <v>-1.3272633921626664</v>
      </c>
      <c r="P27" s="47">
        <v>-1.3272633921626664</v>
      </c>
      <c r="Q27" s="47">
        <v>-1.3272633921626664</v>
      </c>
      <c r="R27" s="47">
        <v>-1.3272633921626664</v>
      </c>
      <c r="S27" s="47">
        <v>-1.3272633921626664</v>
      </c>
      <c r="T27" s="47">
        <v>-1.3272633921626664</v>
      </c>
      <c r="U27" s="47">
        <v>-1.3272633921626664</v>
      </c>
      <c r="V27" s="47">
        <v>-1.3272633921626664</v>
      </c>
      <c r="W27" s="47">
        <v>-1.3272633921626664</v>
      </c>
      <c r="X27" s="47">
        <v>-1.3272633921626664</v>
      </c>
      <c r="Y27" s="47">
        <v>-1.3272633921626664</v>
      </c>
      <c r="Z27" s="47">
        <v>-1.3272633921626664</v>
      </c>
      <c r="AA27" s="47">
        <v>-1.3272633921626664</v>
      </c>
      <c r="AB27" s="47">
        <v>-1.3272633921626664</v>
      </c>
      <c r="AC27" s="47">
        <v>-1.3272633921626664</v>
      </c>
      <c r="AD27" s="47">
        <v>-1.3272633921626664</v>
      </c>
      <c r="AE27" s="47">
        <v>-1.3272633921626664</v>
      </c>
      <c r="AF27" s="47">
        <v>-1.3272633921626664</v>
      </c>
      <c r="AG27" s="47">
        <v>-1.3272633921626664</v>
      </c>
      <c r="AH27" s="47">
        <v>0</v>
      </c>
      <c r="AI27" s="47">
        <v>0</v>
      </c>
      <c r="AJ27" s="47">
        <v>0</v>
      </c>
      <c r="AK27" s="47">
        <v>0</v>
      </c>
      <c r="AL27" s="47">
        <v>0</v>
      </c>
      <c r="AM27"/>
      <c r="AN27"/>
      <c r="AO27"/>
      <c r="AP27"/>
      <c r="AQ27"/>
      <c r="AR27"/>
      <c r="AS27"/>
      <c r="AT27"/>
      <c r="AU27"/>
      <c r="AV27"/>
      <c r="AW27"/>
      <c r="AX27"/>
      <c r="AY27"/>
      <c r="AZ27"/>
      <c r="BA27"/>
      <c r="BB27"/>
      <c r="BC27"/>
      <c r="BD27"/>
      <c r="BE27"/>
      <c r="BF27"/>
      <c r="BG27"/>
      <c r="BH27"/>
      <c r="BI27"/>
      <c r="BJ27"/>
      <c r="BK27"/>
      <c r="BL27"/>
      <c r="BM27"/>
      <c r="BN27"/>
      <c r="BO27"/>
    </row>
    <row r="28" spans="2:69" ht="14">
      <c r="B28" s="23" t="s">
        <v>174</v>
      </c>
      <c r="C28" s="47">
        <v>-2.3000000000000003</v>
      </c>
      <c r="D28" s="47">
        <v>-2.3000000000000003</v>
      </c>
      <c r="E28" s="47">
        <v>-2.3000000000000003</v>
      </c>
      <c r="F28" s="47">
        <v>-2.3000000000000003</v>
      </c>
      <c r="G28" s="47">
        <v>-2.3400000000000003</v>
      </c>
      <c r="H28" s="47">
        <v>-2.3400000000000003</v>
      </c>
      <c r="I28" s="47">
        <v>-2.3400000000000003</v>
      </c>
      <c r="J28" s="47">
        <v>-2.3400000000000003</v>
      </c>
      <c r="K28" s="47">
        <v>-2.35</v>
      </c>
      <c r="L28" s="47">
        <v>-2.35</v>
      </c>
      <c r="M28" s="47">
        <v>-2.35</v>
      </c>
      <c r="N28" s="47">
        <v>-2.3600000000000003</v>
      </c>
      <c r="O28" s="47">
        <v>-2.3600000000000003</v>
      </c>
      <c r="P28" s="47">
        <v>-2.37</v>
      </c>
      <c r="Q28" s="47">
        <v>-2.3899999999999997</v>
      </c>
      <c r="R28" s="47">
        <v>-2.4000000000000004</v>
      </c>
      <c r="S28" s="47">
        <v>-2.4000000000000004</v>
      </c>
      <c r="T28" s="47">
        <v>-2.41</v>
      </c>
      <c r="U28" s="47">
        <v>-2.42</v>
      </c>
      <c r="V28" s="47">
        <v>-2.42</v>
      </c>
      <c r="W28" s="47">
        <v>-2.4300000000000006</v>
      </c>
      <c r="X28" s="47">
        <v>-2.4400000000000004</v>
      </c>
      <c r="Y28" s="47">
        <v>-2.4400000000000004</v>
      </c>
      <c r="Z28" s="47">
        <v>-2.4500000000000002</v>
      </c>
      <c r="AA28" s="47">
        <v>-2.4400000000000004</v>
      </c>
      <c r="AB28" s="47">
        <v>-2.4400000000000004</v>
      </c>
      <c r="AC28" s="47">
        <v>-2.46</v>
      </c>
      <c r="AD28" s="47">
        <v>-2.46</v>
      </c>
      <c r="AE28" s="47">
        <v>-2.46</v>
      </c>
      <c r="AF28" s="47">
        <v>-2.46</v>
      </c>
      <c r="AG28" s="47">
        <v>-2.46</v>
      </c>
      <c r="AH28" s="47">
        <v>0</v>
      </c>
      <c r="AI28" s="47">
        <v>0</v>
      </c>
      <c r="AJ28" s="47">
        <v>0</v>
      </c>
      <c r="AK28" s="47">
        <v>0</v>
      </c>
      <c r="AL28" s="47">
        <v>0</v>
      </c>
      <c r="AM28"/>
      <c r="AN28"/>
      <c r="AO28"/>
      <c r="AP28"/>
      <c r="AQ28"/>
      <c r="AR28"/>
      <c r="AS28"/>
      <c r="AT28"/>
      <c r="AU28"/>
      <c r="AV28"/>
      <c r="AW28"/>
      <c r="AX28"/>
      <c r="AY28"/>
      <c r="AZ28"/>
      <c r="BA28"/>
      <c r="BB28"/>
      <c r="BC28"/>
      <c r="BD28"/>
      <c r="BE28"/>
      <c r="BF28"/>
      <c r="BG28"/>
      <c r="BH28"/>
      <c r="BI28"/>
      <c r="BJ28"/>
      <c r="BK28"/>
      <c r="BL28"/>
      <c r="BM28"/>
      <c r="BN28"/>
      <c r="BO28"/>
    </row>
    <row r="29" spans="2:69" ht="14">
      <c r="B29" s="318" t="s">
        <v>163</v>
      </c>
      <c r="C29" s="47">
        <v>-1.52</v>
      </c>
      <c r="D29" s="47">
        <v>-1.53</v>
      </c>
      <c r="E29" s="47">
        <v>-1.53</v>
      </c>
      <c r="F29" s="47">
        <v>-1.53</v>
      </c>
      <c r="G29" s="47">
        <v>-1.55</v>
      </c>
      <c r="H29" s="47">
        <v>-1.55</v>
      </c>
      <c r="I29" s="47">
        <v>-1.55</v>
      </c>
      <c r="J29" s="47">
        <v>-1.55</v>
      </c>
      <c r="K29" s="47">
        <v>-1.56</v>
      </c>
      <c r="L29" s="47">
        <v>-1.56</v>
      </c>
      <c r="M29" s="47">
        <v>-1.56</v>
      </c>
      <c r="N29" s="47">
        <v>-1.57</v>
      </c>
      <c r="O29" s="47">
        <v>-1.57</v>
      </c>
      <c r="P29" s="47">
        <v>-1.57</v>
      </c>
      <c r="Q29" s="47">
        <v>-1.58</v>
      </c>
      <c r="R29" s="47">
        <v>-1.59</v>
      </c>
      <c r="S29" s="47">
        <v>-1.59</v>
      </c>
      <c r="T29" s="47">
        <v>-1.6</v>
      </c>
      <c r="U29" s="47">
        <v>-1.6</v>
      </c>
      <c r="V29" s="47">
        <v>-1.6</v>
      </c>
      <c r="W29" s="47">
        <v>-1.61</v>
      </c>
      <c r="X29" s="47">
        <v>-1.61</v>
      </c>
      <c r="Y29" s="47">
        <v>-1.61</v>
      </c>
      <c r="Z29" s="47">
        <v>-1.62</v>
      </c>
      <c r="AA29" s="47">
        <v>-1.62</v>
      </c>
      <c r="AB29" s="47">
        <v>-1.62</v>
      </c>
      <c r="AC29" s="47">
        <v>-1.6400000000000001</v>
      </c>
      <c r="AD29" s="47">
        <v>-1.6400000000000001</v>
      </c>
      <c r="AE29" s="47">
        <v>-1.6400000000000001</v>
      </c>
      <c r="AF29" s="47">
        <v>-1.6400000000000001</v>
      </c>
      <c r="AG29" s="47">
        <v>-1.6400000000000001</v>
      </c>
      <c r="AH29" s="47">
        <v>0</v>
      </c>
      <c r="AI29" s="47">
        <v>0</v>
      </c>
      <c r="AJ29" s="47">
        <v>0</v>
      </c>
      <c r="AK29" s="47">
        <v>0</v>
      </c>
      <c r="AL29" s="47">
        <v>0</v>
      </c>
      <c r="AM29"/>
      <c r="AN29"/>
      <c r="AO29"/>
      <c r="AP29"/>
      <c r="AQ29"/>
      <c r="AR29"/>
      <c r="AS29"/>
      <c r="AT29"/>
      <c r="AU29"/>
      <c r="AV29"/>
      <c r="AW29"/>
      <c r="AX29"/>
      <c r="AY29"/>
      <c r="AZ29"/>
      <c r="BA29"/>
      <c r="BB29"/>
      <c r="BC29"/>
      <c r="BD29"/>
      <c r="BE29"/>
      <c r="BF29"/>
      <c r="BG29"/>
      <c r="BH29"/>
      <c r="BI29"/>
      <c r="BJ29"/>
      <c r="BK29"/>
      <c r="BL29"/>
      <c r="BM29"/>
      <c r="BN29"/>
      <c r="BO29"/>
    </row>
    <row r="30" spans="2:69" ht="14">
      <c r="B30" s="318" t="s">
        <v>164</v>
      </c>
      <c r="C30" s="47">
        <v>-0.29000000000000004</v>
      </c>
      <c r="D30" s="47">
        <v>-0.29000000000000004</v>
      </c>
      <c r="E30" s="47">
        <v>-0.29000000000000004</v>
      </c>
      <c r="F30" s="47">
        <v>-0.29000000000000004</v>
      </c>
      <c r="G30" s="47">
        <v>-0.30000000000000004</v>
      </c>
      <c r="H30" s="47">
        <v>-0.30000000000000004</v>
      </c>
      <c r="I30" s="47">
        <v>-0.30000000000000004</v>
      </c>
      <c r="J30" s="47">
        <v>-0.30000000000000004</v>
      </c>
      <c r="K30" s="47">
        <v>-0.30000000000000004</v>
      </c>
      <c r="L30" s="47">
        <v>-0.30000000000000004</v>
      </c>
      <c r="M30" s="47">
        <v>-0.30000000000000004</v>
      </c>
      <c r="N30" s="47">
        <v>-0.30000000000000004</v>
      </c>
      <c r="O30" s="47">
        <v>-0.30000000000000004</v>
      </c>
      <c r="P30" s="47">
        <v>-0.30000000000000004</v>
      </c>
      <c r="Q30" s="47">
        <v>-0.30000000000000004</v>
      </c>
      <c r="R30" s="47">
        <v>-0.30000000000000004</v>
      </c>
      <c r="S30" s="47">
        <v>-0.30000000000000004</v>
      </c>
      <c r="T30" s="47">
        <v>-0.30000000000000004</v>
      </c>
      <c r="U30" s="47">
        <v>-0.30000000000000004</v>
      </c>
      <c r="V30" s="47">
        <v>-0.30000000000000004</v>
      </c>
      <c r="W30" s="47">
        <v>-0.31</v>
      </c>
      <c r="X30" s="47">
        <v>-0.31</v>
      </c>
      <c r="Y30" s="47">
        <v>-0.31</v>
      </c>
      <c r="Z30" s="47">
        <v>-0.31</v>
      </c>
      <c r="AA30" s="47">
        <v>-0.31</v>
      </c>
      <c r="AB30" s="47">
        <v>-0.31</v>
      </c>
      <c r="AC30" s="47">
        <v>-0.31</v>
      </c>
      <c r="AD30" s="47">
        <v>-0.31</v>
      </c>
      <c r="AE30" s="47">
        <v>-0.31</v>
      </c>
      <c r="AF30" s="47">
        <v>-0.31</v>
      </c>
      <c r="AG30" s="47">
        <v>-0.31</v>
      </c>
      <c r="AH30" s="47">
        <v>0</v>
      </c>
      <c r="AI30" s="47">
        <v>0</v>
      </c>
      <c r="AJ30" s="47">
        <v>0</v>
      </c>
      <c r="AK30" s="47">
        <v>0</v>
      </c>
      <c r="AL30" s="47">
        <v>0</v>
      </c>
      <c r="AM30"/>
      <c r="AN30"/>
      <c r="AO30"/>
      <c r="AP30"/>
      <c r="AQ30"/>
      <c r="AR30"/>
      <c r="AS30"/>
      <c r="AT30"/>
      <c r="AU30"/>
      <c r="AV30"/>
      <c r="AW30"/>
      <c r="AX30"/>
      <c r="AY30"/>
      <c r="AZ30"/>
      <c r="BA30"/>
      <c r="BB30"/>
      <c r="BC30"/>
      <c r="BD30"/>
      <c r="BE30"/>
      <c r="BF30"/>
      <c r="BG30"/>
      <c r="BH30"/>
      <c r="BI30"/>
      <c r="BJ30"/>
      <c r="BK30"/>
      <c r="BL30"/>
      <c r="BM30"/>
      <c r="BN30"/>
      <c r="BO30"/>
    </row>
    <row r="31" spans="2:69" ht="14">
      <c r="B31" s="318" t="s">
        <v>172</v>
      </c>
      <c r="C31" s="47">
        <v>-0.22000000000000003</v>
      </c>
      <c r="D31" s="47">
        <v>-0.22000000000000003</v>
      </c>
      <c r="E31" s="47">
        <v>-0.22000000000000003</v>
      </c>
      <c r="F31" s="47">
        <v>-0.22000000000000003</v>
      </c>
      <c r="G31" s="47">
        <v>-0.22000000000000003</v>
      </c>
      <c r="H31" s="47">
        <v>-0.22000000000000003</v>
      </c>
      <c r="I31" s="47">
        <v>-0.22000000000000003</v>
      </c>
      <c r="J31" s="47">
        <v>-0.22000000000000003</v>
      </c>
      <c r="K31" s="47">
        <v>-0.22000000000000003</v>
      </c>
      <c r="L31" s="47">
        <v>-0.22000000000000003</v>
      </c>
      <c r="M31" s="47">
        <v>-0.22000000000000003</v>
      </c>
      <c r="N31" s="47">
        <v>-0.22000000000000003</v>
      </c>
      <c r="O31" s="47">
        <v>-0.22000000000000003</v>
      </c>
      <c r="P31" s="47">
        <v>-0.22000000000000003</v>
      </c>
      <c r="Q31" s="47">
        <v>-0.22000000000000003</v>
      </c>
      <c r="R31" s="47">
        <v>-0.22000000000000003</v>
      </c>
      <c r="S31" s="47">
        <v>-0.22000000000000003</v>
      </c>
      <c r="T31" s="47">
        <v>-0.22000000000000003</v>
      </c>
      <c r="U31" s="47">
        <v>-0.23000000000000004</v>
      </c>
      <c r="V31" s="47">
        <v>-0.23000000000000004</v>
      </c>
      <c r="W31" s="47">
        <v>-0.23000000000000004</v>
      </c>
      <c r="X31" s="47">
        <v>-0.23000000000000004</v>
      </c>
      <c r="Y31" s="47">
        <v>-0.23000000000000004</v>
      </c>
      <c r="Z31" s="47">
        <v>-0.23000000000000004</v>
      </c>
      <c r="AA31" s="47">
        <v>-0.23000000000000004</v>
      </c>
      <c r="AB31" s="47">
        <v>-0.23000000000000004</v>
      </c>
      <c r="AC31" s="47">
        <v>-0.23000000000000004</v>
      </c>
      <c r="AD31" s="47">
        <v>-0.23000000000000004</v>
      </c>
      <c r="AE31" s="47">
        <v>-0.23000000000000004</v>
      </c>
      <c r="AF31" s="47">
        <v>-0.23000000000000004</v>
      </c>
      <c r="AG31" s="47">
        <v>-0.23000000000000004</v>
      </c>
      <c r="AH31" s="47">
        <v>0</v>
      </c>
      <c r="AI31" s="47">
        <v>0</v>
      </c>
      <c r="AJ31" s="47">
        <v>0</v>
      </c>
      <c r="AK31" s="47">
        <v>0</v>
      </c>
      <c r="AL31" s="47">
        <v>0</v>
      </c>
      <c r="AM31" s="315"/>
      <c r="AN31" s="315"/>
      <c r="AO31" s="315"/>
      <c r="AP31" s="315"/>
      <c r="AQ31" s="315"/>
      <c r="AR31" s="315"/>
      <c r="AS31" s="315"/>
      <c r="AT31" s="315"/>
      <c r="AU31" s="315"/>
      <c r="AV31" s="315"/>
      <c r="AW31" s="315"/>
      <c r="AX31" s="315"/>
      <c r="AY31" s="315"/>
      <c r="AZ31" s="315"/>
      <c r="BA31" s="315"/>
      <c r="BB31" s="315"/>
      <c r="BC31" s="315"/>
      <c r="BD31" s="315"/>
      <c r="BE31" s="315"/>
      <c r="BF31" s="315"/>
      <c r="BG31" s="315"/>
      <c r="BH31" s="315"/>
      <c r="BI31" s="315"/>
      <c r="BJ31" s="315"/>
      <c r="BK31" s="315"/>
      <c r="BL31" s="315"/>
      <c r="BM31" s="315"/>
      <c r="BN31" s="315"/>
      <c r="BO31" s="315"/>
      <c r="BP31" s="315"/>
      <c r="BQ31" s="315"/>
    </row>
    <row r="32" spans="2:69" ht="14">
      <c r="B32" s="318" t="s">
        <v>166</v>
      </c>
      <c r="C32" s="47">
        <v>-0.27</v>
      </c>
      <c r="D32" s="47">
        <v>-0.27</v>
      </c>
      <c r="E32" s="47">
        <v>-0.27</v>
      </c>
      <c r="F32" s="47">
        <v>-0.27</v>
      </c>
      <c r="G32" s="47">
        <v>-0.27</v>
      </c>
      <c r="H32" s="47">
        <v>-0.27</v>
      </c>
      <c r="I32" s="47">
        <v>-0.27</v>
      </c>
      <c r="J32" s="47">
        <v>-0.27</v>
      </c>
      <c r="K32" s="47">
        <v>-0.27</v>
      </c>
      <c r="L32" s="47">
        <v>-0.27</v>
      </c>
      <c r="M32" s="47">
        <v>-0.27</v>
      </c>
      <c r="N32" s="47">
        <v>-0.27</v>
      </c>
      <c r="O32" s="47">
        <v>-0.27</v>
      </c>
      <c r="P32" s="47">
        <v>-0.27</v>
      </c>
      <c r="Q32" s="47">
        <v>-0.28000000000000003</v>
      </c>
      <c r="R32" s="47">
        <v>-0.28000000000000003</v>
      </c>
      <c r="S32" s="47">
        <v>-0.28000000000000003</v>
      </c>
      <c r="T32" s="47">
        <v>-0.28000000000000003</v>
      </c>
      <c r="U32" s="47">
        <v>-0.28000000000000003</v>
      </c>
      <c r="V32" s="47">
        <v>-0.28000000000000003</v>
      </c>
      <c r="W32" s="47">
        <v>-0.28000000000000003</v>
      </c>
      <c r="X32" s="47">
        <v>-0.28000000000000003</v>
      </c>
      <c r="Y32" s="47">
        <v>-0.28000000000000003</v>
      </c>
      <c r="Z32" s="47">
        <v>-0.28000000000000003</v>
      </c>
      <c r="AA32" s="47">
        <v>-0.28000000000000003</v>
      </c>
      <c r="AB32" s="47">
        <v>-0.28000000000000003</v>
      </c>
      <c r="AC32" s="47">
        <v>-0.28000000000000003</v>
      </c>
      <c r="AD32" s="47">
        <v>-0.28000000000000003</v>
      </c>
      <c r="AE32" s="47">
        <v>-0.28000000000000003</v>
      </c>
      <c r="AF32" s="47">
        <v>-0.28000000000000003</v>
      </c>
      <c r="AG32" s="47">
        <v>-0.28000000000000003</v>
      </c>
      <c r="AH32" s="47">
        <v>0</v>
      </c>
      <c r="AI32" s="47">
        <v>0</v>
      </c>
      <c r="AJ32" s="47">
        <v>0</v>
      </c>
      <c r="AK32" s="47">
        <v>0</v>
      </c>
      <c r="AL32" s="47">
        <v>0</v>
      </c>
      <c r="AM32"/>
      <c r="AN32"/>
      <c r="AO32"/>
      <c r="AP32"/>
      <c r="AQ32"/>
      <c r="AR32"/>
      <c r="AS32"/>
      <c r="AT32"/>
      <c r="AU32"/>
      <c r="AV32"/>
      <c r="AW32"/>
      <c r="AX32"/>
      <c r="AY32"/>
      <c r="AZ32"/>
      <c r="BA32"/>
      <c r="BB32"/>
      <c r="BC32"/>
      <c r="BD32"/>
      <c r="BE32"/>
      <c r="BF32"/>
      <c r="BG32"/>
      <c r="BH32"/>
      <c r="BI32"/>
      <c r="BJ32"/>
      <c r="BK32"/>
      <c r="BL32"/>
      <c r="BM32"/>
      <c r="BN32"/>
      <c r="BO32"/>
    </row>
    <row r="33" spans="2:69" ht="14">
      <c r="B33" s="318" t="s">
        <v>167</v>
      </c>
      <c r="C33" s="47">
        <v>0</v>
      </c>
      <c r="D33" s="47">
        <v>0.01</v>
      </c>
      <c r="E33" s="47">
        <v>0.01</v>
      </c>
      <c r="F33" s="47">
        <v>0.01</v>
      </c>
      <c r="G33" s="47">
        <v>0</v>
      </c>
      <c r="H33" s="47">
        <v>0</v>
      </c>
      <c r="I33" s="47">
        <v>0</v>
      </c>
      <c r="J33" s="47">
        <v>0</v>
      </c>
      <c r="K33" s="47">
        <v>0</v>
      </c>
      <c r="L33" s="47">
        <v>0</v>
      </c>
      <c r="M33" s="47">
        <v>0</v>
      </c>
      <c r="N33" s="47">
        <v>0</v>
      </c>
      <c r="O33" s="47">
        <v>0</v>
      </c>
      <c r="P33" s="47">
        <v>-0.01</v>
      </c>
      <c r="Q33" s="47">
        <v>-0.01</v>
      </c>
      <c r="R33" s="47">
        <v>-0.01</v>
      </c>
      <c r="S33" s="47">
        <v>-0.01</v>
      </c>
      <c r="T33" s="47">
        <v>-0.01</v>
      </c>
      <c r="U33" s="47">
        <v>-0.01</v>
      </c>
      <c r="V33" s="47">
        <v>-0.01</v>
      </c>
      <c r="W33" s="47">
        <v>0</v>
      </c>
      <c r="X33" s="47">
        <v>-0.01</v>
      </c>
      <c r="Y33" s="47">
        <v>-0.01</v>
      </c>
      <c r="Z33" s="47">
        <v>-0.01</v>
      </c>
      <c r="AA33" s="47">
        <v>0</v>
      </c>
      <c r="AB33" s="47">
        <v>0</v>
      </c>
      <c r="AC33" s="47">
        <v>0</v>
      </c>
      <c r="AD33" s="47">
        <v>0</v>
      </c>
      <c r="AE33" s="47">
        <v>0</v>
      </c>
      <c r="AF33" s="47">
        <v>0</v>
      </c>
      <c r="AG33" s="47">
        <v>0</v>
      </c>
      <c r="AH33" s="47">
        <v>0</v>
      </c>
      <c r="AI33" s="47">
        <v>0</v>
      </c>
      <c r="AJ33" s="47">
        <v>0</v>
      </c>
      <c r="AK33" s="47">
        <v>0</v>
      </c>
      <c r="AL33" s="47">
        <v>0</v>
      </c>
      <c r="AM33"/>
      <c r="AN33"/>
      <c r="AO33"/>
      <c r="AP33"/>
      <c r="AQ33"/>
      <c r="AR33"/>
      <c r="AS33"/>
      <c r="AT33"/>
      <c r="AU33"/>
      <c r="AV33"/>
      <c r="AW33"/>
      <c r="AX33"/>
      <c r="AY33"/>
      <c r="AZ33"/>
      <c r="BA33"/>
      <c r="BB33"/>
      <c r="BC33"/>
      <c r="BD33"/>
      <c r="BE33"/>
      <c r="BF33"/>
      <c r="BG33"/>
      <c r="BH33"/>
      <c r="BI33"/>
      <c r="BJ33"/>
      <c r="BK33"/>
      <c r="BL33"/>
      <c r="BM33"/>
      <c r="BN33"/>
      <c r="BO33"/>
    </row>
    <row r="34" spans="2:69" ht="14">
      <c r="B34" s="23" t="s">
        <v>175</v>
      </c>
      <c r="C34" s="47">
        <v>1.02</v>
      </c>
      <c r="D34" s="47">
        <v>1.02</v>
      </c>
      <c r="E34" s="47">
        <v>1.02</v>
      </c>
      <c r="F34" s="47">
        <v>1.02</v>
      </c>
      <c r="G34" s="47">
        <v>1.02</v>
      </c>
      <c r="H34" s="47">
        <v>1.01</v>
      </c>
      <c r="I34" s="47">
        <v>1.01</v>
      </c>
      <c r="J34" s="47">
        <v>1.02</v>
      </c>
      <c r="K34" s="47">
        <v>1.01</v>
      </c>
      <c r="L34" s="47">
        <v>1</v>
      </c>
      <c r="M34" s="47">
        <v>1</v>
      </c>
      <c r="N34" s="47">
        <v>1</v>
      </c>
      <c r="O34" s="47">
        <v>0.99</v>
      </c>
      <c r="P34" s="47">
        <v>0.98</v>
      </c>
      <c r="Q34" s="47">
        <v>0.98</v>
      </c>
      <c r="R34" s="47">
        <v>0.99</v>
      </c>
      <c r="S34" s="47">
        <v>0.98000000000000009</v>
      </c>
      <c r="T34" s="47">
        <v>0.98000000000000009</v>
      </c>
      <c r="U34" s="47">
        <v>0.98000000000000009</v>
      </c>
      <c r="V34" s="47">
        <v>0.97000000000000008</v>
      </c>
      <c r="W34" s="47">
        <v>0.95000000000000007</v>
      </c>
      <c r="X34" s="47">
        <v>0.96000000000000008</v>
      </c>
      <c r="Y34" s="47">
        <v>0.95000000000000007</v>
      </c>
      <c r="Z34" s="47">
        <v>0.95000000000000007</v>
      </c>
      <c r="AA34" s="47">
        <v>0.98000000000000009</v>
      </c>
      <c r="AB34" s="47">
        <v>0.97000000000000008</v>
      </c>
      <c r="AC34" s="47">
        <v>0.97</v>
      </c>
      <c r="AD34" s="47">
        <v>0.97</v>
      </c>
      <c r="AE34" s="47">
        <v>0.97</v>
      </c>
      <c r="AF34" s="47">
        <v>0.97</v>
      </c>
      <c r="AG34" s="47">
        <v>0.97</v>
      </c>
      <c r="AH34" s="47">
        <v>0</v>
      </c>
      <c r="AI34" s="47">
        <v>0</v>
      </c>
      <c r="AJ34" s="47">
        <v>0</v>
      </c>
      <c r="AK34" s="47">
        <v>0</v>
      </c>
      <c r="AL34" s="47">
        <v>0</v>
      </c>
      <c r="AM34"/>
      <c r="AN34"/>
      <c r="AO34"/>
      <c r="AP34"/>
      <c r="AQ34"/>
      <c r="AR34"/>
      <c r="AS34"/>
      <c r="AT34"/>
      <c r="AU34"/>
      <c r="AV34"/>
      <c r="AW34"/>
      <c r="AX34"/>
      <c r="AY34"/>
      <c r="AZ34"/>
      <c r="BA34"/>
      <c r="BB34"/>
      <c r="BC34"/>
      <c r="BD34"/>
      <c r="BE34"/>
      <c r="BF34"/>
      <c r="BG34"/>
      <c r="BH34"/>
      <c r="BI34"/>
      <c r="BJ34"/>
      <c r="BK34"/>
      <c r="BL34"/>
      <c r="BM34"/>
      <c r="BN34"/>
      <c r="BO34"/>
    </row>
    <row r="35" spans="2:69" ht="14">
      <c r="B35" s="318" t="s">
        <v>163</v>
      </c>
      <c r="C35" s="47">
        <v>0.69000000000000006</v>
      </c>
      <c r="D35" s="47">
        <v>0.69000000000000006</v>
      </c>
      <c r="E35" s="47">
        <v>0.69000000000000006</v>
      </c>
      <c r="F35" s="47">
        <v>0.69000000000000006</v>
      </c>
      <c r="G35" s="47">
        <v>0.69000000000000006</v>
      </c>
      <c r="H35" s="47">
        <v>0.68</v>
      </c>
      <c r="I35" s="47">
        <v>0.68</v>
      </c>
      <c r="J35" s="47">
        <v>0.68</v>
      </c>
      <c r="K35" s="47">
        <v>0.68</v>
      </c>
      <c r="L35" s="47">
        <v>0.68</v>
      </c>
      <c r="M35" s="47">
        <v>0.67</v>
      </c>
      <c r="N35" s="47">
        <v>0.67</v>
      </c>
      <c r="O35" s="47">
        <v>0.67</v>
      </c>
      <c r="P35" s="47">
        <v>0.66</v>
      </c>
      <c r="Q35" s="47">
        <v>0.66</v>
      </c>
      <c r="R35" s="47">
        <v>0.66</v>
      </c>
      <c r="S35" s="47">
        <v>0.65000000000000013</v>
      </c>
      <c r="T35" s="47">
        <v>0.65000000000000013</v>
      </c>
      <c r="U35" s="47">
        <v>0.65000000000000013</v>
      </c>
      <c r="V35" s="47">
        <v>0.65000000000000013</v>
      </c>
      <c r="W35" s="47">
        <v>0.64000000000000012</v>
      </c>
      <c r="X35" s="47">
        <v>0.65000000000000013</v>
      </c>
      <c r="Y35" s="47">
        <v>0.64000000000000012</v>
      </c>
      <c r="Z35" s="47">
        <v>0.64000000000000012</v>
      </c>
      <c r="AA35" s="47">
        <v>0.65000000000000013</v>
      </c>
      <c r="AB35" s="47">
        <v>0.64000000000000012</v>
      </c>
      <c r="AC35" s="47">
        <v>0.65</v>
      </c>
      <c r="AD35" s="47">
        <v>0.65</v>
      </c>
      <c r="AE35" s="47">
        <v>0.65</v>
      </c>
      <c r="AF35" s="47">
        <v>0.65</v>
      </c>
      <c r="AG35" s="47">
        <v>0.65</v>
      </c>
      <c r="AH35" s="47">
        <v>0</v>
      </c>
      <c r="AI35" s="47">
        <v>0</v>
      </c>
      <c r="AJ35" s="47">
        <v>0</v>
      </c>
      <c r="AK35" s="47">
        <v>0</v>
      </c>
      <c r="AL35" s="47">
        <v>0</v>
      </c>
      <c r="AM35"/>
      <c r="AN35"/>
      <c r="AO35"/>
      <c r="AP35"/>
      <c r="AQ35"/>
      <c r="AR35"/>
      <c r="AS35"/>
      <c r="AT35"/>
      <c r="AU35"/>
      <c r="AV35"/>
      <c r="AW35"/>
      <c r="AX35"/>
      <c r="AY35"/>
      <c r="AZ35"/>
      <c r="BA35"/>
      <c r="BB35"/>
      <c r="BC35"/>
      <c r="BD35"/>
      <c r="BE35"/>
      <c r="BF35"/>
      <c r="BG35"/>
      <c r="BH35"/>
      <c r="BI35"/>
      <c r="BJ35"/>
      <c r="BK35"/>
      <c r="BL35"/>
      <c r="BM35"/>
      <c r="BN35"/>
      <c r="BO35"/>
    </row>
    <row r="36" spans="2:69" ht="14">
      <c r="B36" s="318" t="s">
        <v>164</v>
      </c>
      <c r="C36" s="47">
        <v>0.13</v>
      </c>
      <c r="D36" s="47">
        <v>0.13</v>
      </c>
      <c r="E36" s="47">
        <v>0.13</v>
      </c>
      <c r="F36" s="47">
        <v>0.13</v>
      </c>
      <c r="G36" s="47">
        <v>0.13</v>
      </c>
      <c r="H36" s="47">
        <v>0.13</v>
      </c>
      <c r="I36" s="47">
        <v>0.13</v>
      </c>
      <c r="J36" s="47">
        <v>0.13</v>
      </c>
      <c r="K36" s="47">
        <v>0.13</v>
      </c>
      <c r="L36" s="47">
        <v>0.13</v>
      </c>
      <c r="M36" s="47">
        <v>0.13</v>
      </c>
      <c r="N36" s="47">
        <v>0.13</v>
      </c>
      <c r="O36" s="47">
        <v>0.13</v>
      </c>
      <c r="P36" s="47">
        <v>0.13</v>
      </c>
      <c r="Q36" s="47">
        <v>0.13</v>
      </c>
      <c r="R36" s="47">
        <v>0.13</v>
      </c>
      <c r="S36" s="47">
        <v>0.13</v>
      </c>
      <c r="T36" s="47">
        <v>0.13</v>
      </c>
      <c r="U36" s="47">
        <v>0.13</v>
      </c>
      <c r="V36" s="47">
        <v>0.12</v>
      </c>
      <c r="W36" s="47">
        <v>0.12</v>
      </c>
      <c r="X36" s="47">
        <v>0.12</v>
      </c>
      <c r="Y36" s="47">
        <v>0.12</v>
      </c>
      <c r="Z36" s="47">
        <v>0.12</v>
      </c>
      <c r="AA36" s="47">
        <v>0.12</v>
      </c>
      <c r="AB36" s="47">
        <v>0.12</v>
      </c>
      <c r="AC36" s="47">
        <v>0.12</v>
      </c>
      <c r="AD36" s="47">
        <v>0.12</v>
      </c>
      <c r="AE36" s="47">
        <v>0.12</v>
      </c>
      <c r="AF36" s="47">
        <v>0.12</v>
      </c>
      <c r="AG36" s="47">
        <v>0.12</v>
      </c>
      <c r="AH36" s="47">
        <v>0</v>
      </c>
      <c r="AI36" s="47">
        <v>0</v>
      </c>
      <c r="AJ36" s="47">
        <v>0</v>
      </c>
      <c r="AK36" s="47">
        <v>0</v>
      </c>
      <c r="AL36" s="47">
        <v>0</v>
      </c>
      <c r="AM36" s="279"/>
      <c r="AN36" s="279"/>
      <c r="AO36" s="279"/>
      <c r="AP36" s="279"/>
      <c r="AQ36" s="279"/>
      <c r="AR36" s="279"/>
      <c r="AS36" s="279"/>
      <c r="AT36" s="279"/>
      <c r="AU36" s="279"/>
      <c r="AV36" s="279"/>
      <c r="AW36" s="279"/>
      <c r="AX36" s="279"/>
      <c r="AY36" s="279"/>
      <c r="AZ36" s="279"/>
      <c r="BA36" s="279"/>
      <c r="BB36" s="279"/>
      <c r="BC36" s="279"/>
      <c r="BD36" s="279"/>
      <c r="BE36" s="279"/>
      <c r="BF36" s="279"/>
      <c r="BG36" s="279"/>
      <c r="BH36" s="279"/>
      <c r="BI36" s="279"/>
      <c r="BJ36" s="279"/>
      <c r="BK36" s="279"/>
      <c r="BL36" s="279"/>
      <c r="BM36" s="279"/>
      <c r="BN36" s="279"/>
      <c r="BO36" s="279"/>
      <c r="BP36" s="279"/>
      <c r="BQ36" s="279"/>
    </row>
    <row r="37" spans="2:69" ht="14">
      <c r="B37" s="318" t="s">
        <v>172</v>
      </c>
      <c r="C37" s="47">
        <v>0.09</v>
      </c>
      <c r="D37" s="47">
        <v>0.09</v>
      </c>
      <c r="E37" s="47">
        <v>0.09</v>
      </c>
      <c r="F37" s="47">
        <v>0.09</v>
      </c>
      <c r="G37" s="47">
        <v>0.09</v>
      </c>
      <c r="H37" s="47">
        <v>0.09</v>
      </c>
      <c r="I37" s="47">
        <v>0.09</v>
      </c>
      <c r="J37" s="47">
        <v>0.09</v>
      </c>
      <c r="K37" s="47">
        <v>0.09</v>
      </c>
      <c r="L37" s="47">
        <v>0.09</v>
      </c>
      <c r="M37" s="47">
        <v>0.09</v>
      </c>
      <c r="N37" s="47">
        <v>0.09</v>
      </c>
      <c r="O37" s="47">
        <v>0.08</v>
      </c>
      <c r="P37" s="47">
        <v>0.08</v>
      </c>
      <c r="Q37" s="47">
        <v>0.08</v>
      </c>
      <c r="R37" s="47">
        <v>0.08</v>
      </c>
      <c r="S37" s="47">
        <v>0.08</v>
      </c>
      <c r="T37" s="47">
        <v>0.08</v>
      </c>
      <c r="U37" s="47">
        <v>0.08</v>
      </c>
      <c r="V37" s="47">
        <v>0.08</v>
      </c>
      <c r="W37" s="47">
        <v>0.08</v>
      </c>
      <c r="X37" s="47">
        <v>0.08</v>
      </c>
      <c r="Y37" s="47">
        <v>0.08</v>
      </c>
      <c r="Z37" s="47">
        <v>0.08</v>
      </c>
      <c r="AA37" s="47">
        <v>0.08</v>
      </c>
      <c r="AB37" s="47">
        <v>0.08</v>
      </c>
      <c r="AC37" s="47">
        <v>0.08</v>
      </c>
      <c r="AD37" s="47">
        <v>0.08</v>
      </c>
      <c r="AE37" s="47">
        <v>0.08</v>
      </c>
      <c r="AF37" s="47">
        <v>0.08</v>
      </c>
      <c r="AG37" s="47">
        <v>0.08</v>
      </c>
      <c r="AH37" s="47">
        <v>0</v>
      </c>
      <c r="AI37" s="47">
        <v>0</v>
      </c>
      <c r="AJ37" s="47">
        <v>0</v>
      </c>
      <c r="AK37" s="47">
        <v>0</v>
      </c>
      <c r="AL37" s="47">
        <v>0</v>
      </c>
      <c r="AM37"/>
      <c r="AN37"/>
      <c r="AO37"/>
      <c r="AP37"/>
      <c r="AQ37"/>
      <c r="AR37"/>
      <c r="AS37"/>
      <c r="AT37"/>
      <c r="AU37"/>
      <c r="AV37"/>
      <c r="AW37"/>
      <c r="AX37"/>
      <c r="AY37"/>
      <c r="AZ37"/>
      <c r="BA37"/>
      <c r="BB37"/>
      <c r="BC37"/>
      <c r="BD37"/>
      <c r="BE37"/>
      <c r="BF37"/>
      <c r="BG37"/>
      <c r="BH37"/>
      <c r="BI37"/>
      <c r="BJ37"/>
      <c r="BK37"/>
      <c r="BL37"/>
      <c r="BM37"/>
      <c r="BN37"/>
      <c r="BO37"/>
    </row>
    <row r="38" spans="2:69" ht="14">
      <c r="B38" s="318" t="s">
        <v>166</v>
      </c>
      <c r="C38" s="47">
        <v>9.9999999999999992E-2</v>
      </c>
      <c r="D38" s="47">
        <v>9.9999999999999992E-2</v>
      </c>
      <c r="E38" s="47">
        <v>9.9999999999999992E-2</v>
      </c>
      <c r="F38" s="47">
        <v>9.9999999999999992E-2</v>
      </c>
      <c r="G38" s="47">
        <v>9.9999999999999992E-2</v>
      </c>
      <c r="H38" s="47">
        <v>9.9999999999999992E-2</v>
      </c>
      <c r="I38" s="47">
        <v>9.9999999999999992E-2</v>
      </c>
      <c r="J38" s="47">
        <v>9.9999999999999992E-2</v>
      </c>
      <c r="K38" s="47">
        <v>0.09</v>
      </c>
      <c r="L38" s="47">
        <v>0.09</v>
      </c>
      <c r="M38" s="47">
        <v>0.09</v>
      </c>
      <c r="N38" s="47">
        <v>0.09</v>
      </c>
      <c r="O38" s="47">
        <v>0.09</v>
      </c>
      <c r="P38" s="47">
        <v>0.09</v>
      </c>
      <c r="Q38" s="47">
        <v>0.09</v>
      </c>
      <c r="R38" s="47">
        <v>0.09</v>
      </c>
      <c r="S38" s="47">
        <v>0.09</v>
      </c>
      <c r="T38" s="47">
        <v>0.09</v>
      </c>
      <c r="U38" s="47">
        <v>0.09</v>
      </c>
      <c r="V38" s="47">
        <v>0.09</v>
      </c>
      <c r="W38" s="47">
        <v>0.09</v>
      </c>
      <c r="X38" s="47">
        <v>0.09</v>
      </c>
      <c r="Y38" s="47">
        <v>0.09</v>
      </c>
      <c r="Z38" s="47">
        <v>0.09</v>
      </c>
      <c r="AA38" s="47">
        <v>0.1</v>
      </c>
      <c r="AB38" s="47">
        <v>0.1</v>
      </c>
      <c r="AC38" s="47">
        <v>0.1</v>
      </c>
      <c r="AD38" s="47">
        <v>0.1</v>
      </c>
      <c r="AE38" s="47">
        <v>0.1</v>
      </c>
      <c r="AF38" s="47">
        <v>0.1</v>
      </c>
      <c r="AG38" s="47">
        <v>0.1</v>
      </c>
      <c r="AH38" s="47">
        <v>0</v>
      </c>
      <c r="AI38" s="47">
        <v>0</v>
      </c>
      <c r="AJ38" s="47">
        <v>0</v>
      </c>
      <c r="AK38" s="47">
        <v>0</v>
      </c>
      <c r="AL38" s="47">
        <v>0</v>
      </c>
      <c r="AM38"/>
      <c r="AN38"/>
      <c r="AO38"/>
      <c r="AP38"/>
      <c r="AQ38"/>
      <c r="AR38"/>
      <c r="AS38"/>
      <c r="AT38"/>
      <c r="AU38"/>
      <c r="AV38"/>
      <c r="AW38"/>
      <c r="AX38"/>
      <c r="AY38"/>
      <c r="AZ38"/>
      <c r="BA38"/>
      <c r="BB38"/>
      <c r="BC38"/>
      <c r="BD38"/>
      <c r="BE38"/>
      <c r="BF38"/>
      <c r="BG38"/>
      <c r="BH38"/>
      <c r="BI38"/>
      <c r="BJ38"/>
      <c r="BK38"/>
      <c r="BL38"/>
      <c r="BM38"/>
      <c r="BN38"/>
      <c r="BO38"/>
    </row>
    <row r="39" spans="2:69" ht="14">
      <c r="B39" s="318" t="s">
        <v>167</v>
      </c>
      <c r="C39" s="47">
        <v>0.01</v>
      </c>
      <c r="D39" s="47">
        <v>0.01</v>
      </c>
      <c r="E39" s="47">
        <v>0.01</v>
      </c>
      <c r="F39" s="47">
        <v>0.01</v>
      </c>
      <c r="G39" s="47">
        <v>0.01</v>
      </c>
      <c r="H39" s="47">
        <v>0.01</v>
      </c>
      <c r="I39" s="47">
        <v>0.01</v>
      </c>
      <c r="J39" s="47">
        <v>0.02</v>
      </c>
      <c r="K39" s="47">
        <v>0.02</v>
      </c>
      <c r="L39" s="47">
        <v>0.01</v>
      </c>
      <c r="M39" s="47">
        <v>0.02</v>
      </c>
      <c r="N39" s="47">
        <v>0.02</v>
      </c>
      <c r="O39" s="47">
        <v>0.02</v>
      </c>
      <c r="P39" s="47">
        <v>0.02</v>
      </c>
      <c r="Q39" s="47">
        <v>0.02</v>
      </c>
      <c r="R39" s="47">
        <v>0.03</v>
      </c>
      <c r="S39" s="47">
        <v>0.03</v>
      </c>
      <c r="T39" s="47">
        <v>0.03</v>
      </c>
      <c r="U39" s="47">
        <v>0.03</v>
      </c>
      <c r="V39" s="47">
        <v>0.03</v>
      </c>
      <c r="W39" s="47">
        <v>0.02</v>
      </c>
      <c r="X39" s="47">
        <v>0.02</v>
      </c>
      <c r="Y39" s="47">
        <v>0.02</v>
      </c>
      <c r="Z39" s="47">
        <v>0.02</v>
      </c>
      <c r="AA39" s="47">
        <v>0.03</v>
      </c>
      <c r="AB39" s="47">
        <v>0.03</v>
      </c>
      <c r="AC39" s="47">
        <v>0.02</v>
      </c>
      <c r="AD39" s="47">
        <v>0.02</v>
      </c>
      <c r="AE39" s="47">
        <v>0.02</v>
      </c>
      <c r="AF39" s="47">
        <v>0.02</v>
      </c>
      <c r="AG39" s="47">
        <v>0.02</v>
      </c>
      <c r="AH39" s="47">
        <v>0</v>
      </c>
      <c r="AI39" s="47">
        <v>0</v>
      </c>
      <c r="AJ39" s="47">
        <v>0</v>
      </c>
      <c r="AK39" s="47">
        <v>0</v>
      </c>
      <c r="AL39" s="47">
        <v>0</v>
      </c>
      <c r="AM39"/>
      <c r="AN39"/>
      <c r="AO39"/>
      <c r="AP39"/>
      <c r="AQ39"/>
      <c r="AR39"/>
      <c r="AS39"/>
      <c r="AT39"/>
      <c r="AU39"/>
      <c r="AV39"/>
      <c r="AW39"/>
      <c r="AX39"/>
      <c r="AY39"/>
      <c r="AZ39"/>
      <c r="BA39"/>
      <c r="BB39"/>
      <c r="BC39"/>
      <c r="BD39"/>
      <c r="BE39"/>
      <c r="BF39"/>
      <c r="BG39"/>
      <c r="BH39"/>
      <c r="BI39"/>
      <c r="BJ39"/>
      <c r="BK39"/>
      <c r="BL39"/>
      <c r="BM39"/>
      <c r="BN39"/>
      <c r="BO39"/>
    </row>
    <row r="40" spans="2:69" ht="14">
      <c r="B40" s="18" t="s">
        <v>176</v>
      </c>
      <c r="C40" s="47">
        <v>-1.5302824800266666</v>
      </c>
      <c r="D40" s="47">
        <v>-1.5591288703906663</v>
      </c>
      <c r="E40" s="47">
        <v>-1.5879752607546662</v>
      </c>
      <c r="F40" s="47">
        <v>-1.6168216511186664</v>
      </c>
      <c r="G40" s="47">
        <v>-1.6456680414826659</v>
      </c>
      <c r="H40" s="47">
        <v>-1.674514431846666</v>
      </c>
      <c r="I40" s="47">
        <v>-1.703360822210666</v>
      </c>
      <c r="J40" s="47">
        <v>-1.7322072125746659</v>
      </c>
      <c r="K40" s="47">
        <v>-1.7610536029386661</v>
      </c>
      <c r="L40" s="47">
        <v>-1.7898999933026658</v>
      </c>
      <c r="M40" s="47">
        <v>-1.8187463836666666</v>
      </c>
      <c r="N40" s="47">
        <v>-1.8361820828357838</v>
      </c>
      <c r="O40" s="47">
        <v>-1.8536177820049013</v>
      </c>
      <c r="P40" s="47">
        <v>-1.8710534811740189</v>
      </c>
      <c r="Q40" s="47">
        <v>-1.8884891803431361</v>
      </c>
      <c r="R40" s="47">
        <v>-1.9059248795122541</v>
      </c>
      <c r="S40" s="47">
        <v>-1.9233605786813712</v>
      </c>
      <c r="T40" s="47">
        <v>-1.9407962778504888</v>
      </c>
      <c r="U40" s="47">
        <v>-1.9582319770196066</v>
      </c>
      <c r="V40" s="47">
        <v>-1.9756676761887237</v>
      </c>
      <c r="W40" s="47">
        <v>-1.9931033753578413</v>
      </c>
      <c r="X40" s="47">
        <v>-2.0105390745269598</v>
      </c>
      <c r="Y40" s="47">
        <v>-2.0279747736960796</v>
      </c>
      <c r="Z40" s="47">
        <v>-2.0454104728651936</v>
      </c>
      <c r="AA40" s="47">
        <v>-2.062846172034313</v>
      </c>
      <c r="AB40" s="47">
        <v>-2.0802818712034266</v>
      </c>
      <c r="AC40" s="47">
        <v>-2.0977175703725468</v>
      </c>
      <c r="AD40" s="47">
        <v>-2.1151532695416657</v>
      </c>
      <c r="AE40" s="47">
        <v>-2.1325889687107802</v>
      </c>
      <c r="AF40" s="47">
        <v>-2.1500246678799</v>
      </c>
      <c r="AG40" s="47">
        <v>-2.1674603670490193</v>
      </c>
      <c r="AH40" s="47">
        <v>0</v>
      </c>
      <c r="AI40" s="47">
        <v>0</v>
      </c>
      <c r="AJ40" s="47">
        <v>0</v>
      </c>
      <c r="AK40" s="47">
        <v>0</v>
      </c>
      <c r="AL40" s="47">
        <v>0</v>
      </c>
      <c r="AM40" s="287"/>
      <c r="AN40" s="287"/>
      <c r="AO40" s="17"/>
      <c r="AP40" s="17"/>
      <c r="AQ40" s="17"/>
      <c r="AR40" s="17"/>
      <c r="AS40" s="17"/>
      <c r="AT40" s="17"/>
      <c r="AU40" s="17"/>
      <c r="AV40" s="17"/>
      <c r="AW40" s="17"/>
      <c r="AX40" s="17"/>
      <c r="AY40" s="17"/>
      <c r="AZ40" s="17"/>
      <c r="BA40" s="17"/>
      <c r="BB40" s="17"/>
      <c r="BC40" s="17"/>
      <c r="BD40" s="17"/>
      <c r="BE40" s="17"/>
      <c r="BF40" s="17"/>
      <c r="BG40" s="17"/>
      <c r="BH40" s="17"/>
      <c r="BI40" s="17"/>
      <c r="BJ40" s="17"/>
      <c r="BK40" s="17"/>
      <c r="BL40" s="17"/>
      <c r="BM40" s="17"/>
    </row>
    <row r="41" spans="2:69" ht="14">
      <c r="B41" s="18" t="s">
        <v>177</v>
      </c>
      <c r="C41" s="47">
        <v>-1.0549234161426002</v>
      </c>
      <c r="D41" s="47">
        <v>-0.99536574439989556</v>
      </c>
      <c r="E41" s="47">
        <v>-0.98123309807417203</v>
      </c>
      <c r="F41" s="47">
        <v>-0.8532325419233916</v>
      </c>
      <c r="G41" s="47">
        <v>-0.74694654865993892</v>
      </c>
      <c r="H41" s="47">
        <v>-0.60986139994347721</v>
      </c>
      <c r="I41" s="47">
        <v>-0.49479422245524579</v>
      </c>
      <c r="J41" s="47">
        <v>-0.5237681888252379</v>
      </c>
      <c r="K41" s="47">
        <v>-0.51576145939384677</v>
      </c>
      <c r="L41" s="47">
        <v>-0.47537236373175629</v>
      </c>
      <c r="M41" s="47">
        <v>-0.48038160191898732</v>
      </c>
      <c r="N41" s="47">
        <v>-0.48844094981112063</v>
      </c>
      <c r="O41" s="47">
        <v>-0.49279383534442678</v>
      </c>
      <c r="P41" s="47">
        <v>-0.4175111572515951</v>
      </c>
      <c r="Q41" s="47">
        <v>-0.40484132006101237</v>
      </c>
      <c r="R41" s="47">
        <v>-0.40517064134734737</v>
      </c>
      <c r="S41" s="47">
        <v>-0.40096027153036728</v>
      </c>
      <c r="T41" s="47">
        <v>-0.38039432968247305</v>
      </c>
      <c r="U41" s="47">
        <v>-0.37176595502764187</v>
      </c>
      <c r="V41" s="47">
        <v>-0.42285436892927064</v>
      </c>
      <c r="W41" s="47">
        <v>-0.44751145667325054</v>
      </c>
      <c r="X41" s="47">
        <v>-0.43979457370356989</v>
      </c>
      <c r="Y41" s="47">
        <v>-0.43334901948105786</v>
      </c>
      <c r="Z41" s="47">
        <v>-0.41133788510655217</v>
      </c>
      <c r="AA41" s="47">
        <v>-0.40672351653932742</v>
      </c>
      <c r="AB41" s="47">
        <v>-0.40494199801979636</v>
      </c>
      <c r="AC41" s="47">
        <v>-0.36650860939723301</v>
      </c>
      <c r="AD41" s="47">
        <v>-0.33264475157998452</v>
      </c>
      <c r="AE41" s="47">
        <v>-0.42372032073543447</v>
      </c>
      <c r="AF41" s="47">
        <v>-0.41985067335790804</v>
      </c>
      <c r="AG41" s="47">
        <v>-0.41814309546031359</v>
      </c>
      <c r="AH41" s="47">
        <v>0</v>
      </c>
      <c r="AI41" s="47">
        <v>0</v>
      </c>
      <c r="AJ41" s="47">
        <v>0</v>
      </c>
      <c r="AK41" s="47">
        <v>0</v>
      </c>
      <c r="AL41" s="47">
        <v>0</v>
      </c>
      <c r="AM41" s="286"/>
      <c r="AN41" s="286"/>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row>
    <row r="42" spans="2:69" ht="14">
      <c r="B42" s="187" t="s">
        <v>178</v>
      </c>
      <c r="C42" s="47">
        <v>-8.085102138206976E-2</v>
      </c>
      <c r="D42" s="47">
        <v>-7.5115077593646329E-2</v>
      </c>
      <c r="E42" s="47">
        <v>-7.3678281600024736E-2</v>
      </c>
      <c r="F42" s="47">
        <v>-5.7422752984407521E-2</v>
      </c>
      <c r="G42" s="47">
        <v>-4.5754735311778101E-2</v>
      </c>
      <c r="H42" s="47">
        <v>-3.1155427890186615E-2</v>
      </c>
      <c r="I42" s="47">
        <v>-1.8619087237329076E-2</v>
      </c>
      <c r="J42" s="47">
        <v>-1.877788543754309E-2</v>
      </c>
      <c r="K42" s="47">
        <v>-1.9492703844606843E-2</v>
      </c>
      <c r="L42" s="47">
        <v>-1.6388641117681915E-2</v>
      </c>
      <c r="M42" s="47">
        <v>-1.6644393816911966E-2</v>
      </c>
      <c r="N42" s="47">
        <v>-2.0262882046320704E-2</v>
      </c>
      <c r="O42" s="47">
        <v>-2.2889672728124158E-2</v>
      </c>
      <c r="P42" s="47">
        <v>-1.5049181595541236E-2</v>
      </c>
      <c r="Q42" s="47">
        <v>-1.2346946992548055E-2</v>
      </c>
      <c r="R42" s="47">
        <v>-1.5112071586188637E-2</v>
      </c>
      <c r="S42" s="47">
        <v>-1.7063474394795549E-2</v>
      </c>
      <c r="T42" s="47">
        <v>-1.7195355547136235E-2</v>
      </c>
      <c r="U42" s="47">
        <v>-1.8233365323535016E-2</v>
      </c>
      <c r="V42" s="47">
        <v>-2.3964251715940237E-2</v>
      </c>
      <c r="W42" s="47">
        <v>-2.7321217566337624E-2</v>
      </c>
      <c r="X42" s="47">
        <v>-2.7923960218349066E-2</v>
      </c>
      <c r="Y42" s="47">
        <v>-2.8463387850656774E-2</v>
      </c>
      <c r="Z42" s="47">
        <v>-2.7166685939935896E-2</v>
      </c>
      <c r="AA42" s="47">
        <v>-2.7158969611536351E-2</v>
      </c>
      <c r="AB42" s="47">
        <v>-2.7476508222605691E-2</v>
      </c>
      <c r="AC42" s="47">
        <v>-2.4338784807721101E-2</v>
      </c>
      <c r="AD42" s="47">
        <v>-2.1692020709836505E-2</v>
      </c>
      <c r="AE42" s="47">
        <v>-2.5393997654044785E-2</v>
      </c>
      <c r="AF42" s="47">
        <v>-2.5477528918317296E-2</v>
      </c>
      <c r="AG42" s="47">
        <v>-2.5722681909030674E-2</v>
      </c>
      <c r="AH42" s="47">
        <v>0</v>
      </c>
      <c r="AI42" s="47">
        <v>0</v>
      </c>
      <c r="AJ42" s="47">
        <v>0</v>
      </c>
      <c r="AK42" s="47">
        <v>0</v>
      </c>
      <c r="AL42" s="47">
        <v>0</v>
      </c>
      <c r="AM42" s="286"/>
      <c r="AN42" s="286"/>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row>
    <row r="43" spans="2:69" ht="14">
      <c r="B43" s="187" t="s">
        <v>179</v>
      </c>
      <c r="C43" s="47">
        <v>-0.44148609016590351</v>
      </c>
      <c r="D43" s="47">
        <v>-0.42148495180949019</v>
      </c>
      <c r="E43" s="47">
        <v>-0.41407277418775867</v>
      </c>
      <c r="F43" s="47">
        <v>-0.36019460042513096</v>
      </c>
      <c r="G43" s="47">
        <v>-0.31807595495096785</v>
      </c>
      <c r="H43" s="47">
        <v>-0.26516848919210417</v>
      </c>
      <c r="I43" s="47">
        <v>-0.21673607698947034</v>
      </c>
      <c r="J43" s="47">
        <v>-0.20658624846852611</v>
      </c>
      <c r="K43" s="47">
        <v>-0.19901108994215669</v>
      </c>
      <c r="L43" s="47">
        <v>-0.1803465297307833</v>
      </c>
      <c r="M43" s="47">
        <v>-0.17235105299342496</v>
      </c>
      <c r="N43" s="47">
        <v>-0.17560435551972114</v>
      </c>
      <c r="O43" s="47">
        <v>-0.17699729629431535</v>
      </c>
      <c r="P43" s="47">
        <v>-0.14659367816778951</v>
      </c>
      <c r="Q43" s="47">
        <v>-0.13138523684713679</v>
      </c>
      <c r="R43" s="47">
        <v>-0.13411969739229121</v>
      </c>
      <c r="S43" s="47">
        <v>-0.13430682260227936</v>
      </c>
      <c r="T43" s="47">
        <v>-0.12677223935603979</v>
      </c>
      <c r="U43" s="47">
        <v>-0.12484361752770747</v>
      </c>
      <c r="V43" s="47">
        <v>-0.14712474125807176</v>
      </c>
      <c r="W43" s="47">
        <v>-0.15849545954675431</v>
      </c>
      <c r="X43" s="47">
        <v>-0.15696145050225702</v>
      </c>
      <c r="Y43" s="47">
        <v>-0.15575042894918351</v>
      </c>
      <c r="Z43" s="47">
        <v>-0.14599987621925176</v>
      </c>
      <c r="AA43" s="47">
        <v>-0.14311108801064165</v>
      </c>
      <c r="AB43" s="47">
        <v>-0.14224833695069294</v>
      </c>
      <c r="AC43" s="47">
        <v>-0.12463643692346067</v>
      </c>
      <c r="AD43" s="47">
        <v>-0.10976757068905832</v>
      </c>
      <c r="AE43" s="47">
        <v>-0.1266055944664434</v>
      </c>
      <c r="AF43" s="47">
        <v>-0.12576003894720056</v>
      </c>
      <c r="AG43" s="47">
        <v>-0.12591686337933516</v>
      </c>
      <c r="AH43" s="47">
        <v>0</v>
      </c>
      <c r="AI43" s="47">
        <v>0</v>
      </c>
      <c r="AJ43" s="47">
        <v>0</v>
      </c>
      <c r="AK43" s="47">
        <v>0</v>
      </c>
      <c r="AL43" s="47">
        <v>0</v>
      </c>
      <c r="AM43" s="286"/>
      <c r="AN43" s="286"/>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row>
    <row r="44" spans="2:69" ht="14">
      <c r="B44" s="187" t="s">
        <v>180</v>
      </c>
      <c r="C44" s="47">
        <v>-0.43681111807031536</v>
      </c>
      <c r="D44" s="47">
        <v>-0.41571915732407022</v>
      </c>
      <c r="E44" s="47">
        <v>-0.40763982293183226</v>
      </c>
      <c r="F44" s="47">
        <v>-0.35170178423939918</v>
      </c>
      <c r="G44" s="47">
        <v>-0.30797633918491885</v>
      </c>
      <c r="H44" s="47">
        <v>-0.25320951443445178</v>
      </c>
      <c r="I44" s="47">
        <v>-0.20314607643737173</v>
      </c>
      <c r="J44" s="47">
        <v>-0.19261318717546447</v>
      </c>
      <c r="K44" s="47">
        <v>-0.18475400670942568</v>
      </c>
      <c r="L44" s="47">
        <v>-0.16548449393749434</v>
      </c>
      <c r="M44" s="47">
        <v>-0.15724244208368721</v>
      </c>
      <c r="N44" s="47">
        <v>-0.16060732622128127</v>
      </c>
      <c r="O44" s="47">
        <v>-0.16205281093780891</v>
      </c>
      <c r="P44" s="47">
        <v>-0.13073543649962721</v>
      </c>
      <c r="Q44" s="47">
        <v>-0.11512731857082932</v>
      </c>
      <c r="R44" s="47">
        <v>-0.11784032348403828</v>
      </c>
      <c r="S44" s="47">
        <v>-0.11816576703754163</v>
      </c>
      <c r="T44" s="47">
        <v>-0.11125718267322857</v>
      </c>
      <c r="U44" s="47">
        <v>-0.10959748836766235</v>
      </c>
      <c r="V44" s="47">
        <v>-0.13061131959431865</v>
      </c>
      <c r="W44" s="47">
        <v>-0.14140441430113301</v>
      </c>
      <c r="X44" s="47">
        <v>-0.14010882196158581</v>
      </c>
      <c r="Y44" s="47">
        <v>-0.13911385681484445</v>
      </c>
      <c r="Z44" s="47">
        <v>-0.13011868640323457</v>
      </c>
      <c r="AA44" s="47">
        <v>-0.12754845065372925</v>
      </c>
      <c r="AB44" s="47">
        <v>-0.12687389599672799</v>
      </c>
      <c r="AC44" s="47">
        <v>-0.11050979866071248</v>
      </c>
      <c r="AD44" s="47">
        <v>-9.6712913218630098E-2</v>
      </c>
      <c r="AE44" s="47">
        <v>-0.11261135379154438</v>
      </c>
      <c r="AF44" s="47">
        <v>-0.11194502382742576</v>
      </c>
      <c r="AG44" s="47">
        <v>-0.1122155603247426</v>
      </c>
      <c r="AH44" s="47">
        <v>0</v>
      </c>
      <c r="AI44" s="47">
        <v>0</v>
      </c>
      <c r="AJ44" s="47">
        <v>0</v>
      </c>
      <c r="AK44" s="47">
        <v>0</v>
      </c>
      <c r="AL44" s="47">
        <v>0</v>
      </c>
      <c r="AM44" s="286"/>
      <c r="AN44" s="286"/>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row>
    <row r="45" spans="2:69" ht="14">
      <c r="B45" s="187" t="s">
        <v>181</v>
      </c>
      <c r="C45" s="47">
        <v>-9.5775186524311676E-2</v>
      </c>
      <c r="D45" s="47">
        <v>-8.3046557672688925E-2</v>
      </c>
      <c r="E45" s="47">
        <v>-8.5842219354556423E-2</v>
      </c>
      <c r="F45" s="47">
        <v>-8.3913404274453943E-2</v>
      </c>
      <c r="G45" s="47">
        <v>-7.5139519212274075E-2</v>
      </c>
      <c r="H45" s="47">
        <v>-6.0327968426734588E-2</v>
      </c>
      <c r="I45" s="47">
        <v>-5.6292981791074601E-2</v>
      </c>
      <c r="J45" s="47">
        <v>-0.10579086774370429</v>
      </c>
      <c r="K45" s="47">
        <v>-0.11250365889765755</v>
      </c>
      <c r="L45" s="47">
        <v>-0.11315269894579674</v>
      </c>
      <c r="M45" s="47">
        <v>-0.1341437130249632</v>
      </c>
      <c r="N45" s="47">
        <v>-0.13196638602379751</v>
      </c>
      <c r="O45" s="47">
        <v>-0.13085405538417835</v>
      </c>
      <c r="P45" s="47">
        <v>-0.12513286098863713</v>
      </c>
      <c r="Q45" s="47">
        <v>-0.14598181765049822</v>
      </c>
      <c r="R45" s="47">
        <v>-0.13809854888482928</v>
      </c>
      <c r="S45" s="47">
        <v>-0.13142420749575073</v>
      </c>
      <c r="T45" s="47">
        <v>-0.12516955210606845</v>
      </c>
      <c r="U45" s="47">
        <v>-0.11909148380873701</v>
      </c>
      <c r="V45" s="47">
        <v>-0.12115405636094002</v>
      </c>
      <c r="W45" s="47">
        <v>-0.12029036525902559</v>
      </c>
      <c r="X45" s="47">
        <v>-0.11480034102137801</v>
      </c>
      <c r="Y45" s="47">
        <v>-0.11002134586637316</v>
      </c>
      <c r="Z45" s="47">
        <v>-0.10805263654412996</v>
      </c>
      <c r="AA45" s="47">
        <v>-0.10890500826342016</v>
      </c>
      <c r="AB45" s="47">
        <v>-0.10834325684976973</v>
      </c>
      <c r="AC45" s="47">
        <v>-0.10702358900533877</v>
      </c>
      <c r="AD45" s="47">
        <v>-0.10447224696245962</v>
      </c>
      <c r="AE45" s="47">
        <v>-0.15910937482340187</v>
      </c>
      <c r="AF45" s="47">
        <v>-0.1566680816649644</v>
      </c>
      <c r="AG45" s="47">
        <v>-0.15428798984720515</v>
      </c>
      <c r="AH45" s="47">
        <v>0</v>
      </c>
      <c r="AI45" s="47">
        <v>0</v>
      </c>
      <c r="AJ45" s="47">
        <v>0</v>
      </c>
      <c r="AK45" s="47">
        <v>0</v>
      </c>
      <c r="AL45" s="47">
        <v>0</v>
      </c>
      <c r="AM45" s="286"/>
      <c r="AN45" s="286"/>
      <c r="AO45" s="17"/>
      <c r="AP45" s="17"/>
      <c r="AQ45" s="17"/>
      <c r="AR45" s="17"/>
      <c r="AS45" s="17"/>
      <c r="AT45" s="17"/>
      <c r="AU45" s="17"/>
      <c r="AV45" s="17"/>
      <c r="AW45" s="17"/>
      <c r="AX45" s="17"/>
      <c r="AY45" s="17"/>
      <c r="AZ45" s="17"/>
      <c r="BA45" s="17"/>
      <c r="BB45" s="17"/>
      <c r="BC45" s="17"/>
      <c r="BD45" s="17"/>
      <c r="BE45" s="17"/>
      <c r="BF45" s="17"/>
      <c r="BG45" s="17"/>
      <c r="BH45" s="17"/>
      <c r="BI45" s="17"/>
      <c r="BJ45" s="17"/>
      <c r="BK45" s="17"/>
      <c r="BL45" s="17"/>
      <c r="BM45" s="17"/>
    </row>
    <row r="46" spans="2:69" ht="14">
      <c r="B46" s="18" t="s">
        <v>182</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286"/>
      <c r="AN46" s="286"/>
      <c r="AO46" s="17"/>
      <c r="AP46" s="17"/>
      <c r="AQ46" s="17"/>
      <c r="AR46" s="17"/>
      <c r="AS46" s="17"/>
      <c r="AT46" s="17"/>
      <c r="AU46" s="17"/>
      <c r="AV46" s="17"/>
      <c r="AW46" s="17"/>
      <c r="AX46" s="17"/>
      <c r="AY46" s="17"/>
      <c r="AZ46" s="17"/>
      <c r="BA46" s="17"/>
      <c r="BB46" s="17"/>
      <c r="BC46" s="17"/>
      <c r="BD46" s="17"/>
      <c r="BE46" s="17"/>
      <c r="BF46" s="17"/>
      <c r="BG46" s="17"/>
      <c r="BH46" s="17"/>
      <c r="BI46" s="17"/>
      <c r="BJ46" s="17"/>
      <c r="BK46" s="17"/>
      <c r="BL46" s="17"/>
      <c r="BM46" s="17"/>
    </row>
    <row r="47" spans="2:69" ht="14">
      <c r="B47" s="187" t="s">
        <v>183</v>
      </c>
      <c r="C47" s="47">
        <v>0</v>
      </c>
      <c r="D47" s="47">
        <v>0</v>
      </c>
      <c r="E47" s="47">
        <v>0</v>
      </c>
      <c r="F47" s="47">
        <v>0</v>
      </c>
      <c r="G47" s="47">
        <v>0</v>
      </c>
      <c r="H47" s="47">
        <v>0</v>
      </c>
      <c r="I47" s="47">
        <v>0</v>
      </c>
      <c r="J47" s="47">
        <v>0</v>
      </c>
      <c r="K47" s="47">
        <v>0</v>
      </c>
      <c r="L47" s="47">
        <v>0</v>
      </c>
      <c r="M47" s="47">
        <v>0</v>
      </c>
      <c r="N47" s="47">
        <v>0</v>
      </c>
      <c r="O47" s="47">
        <v>0</v>
      </c>
      <c r="P47" s="47">
        <v>0</v>
      </c>
      <c r="Q47" s="47">
        <v>0</v>
      </c>
      <c r="R47" s="47">
        <v>0</v>
      </c>
      <c r="S47" s="47">
        <v>0</v>
      </c>
      <c r="T47" s="47">
        <v>0</v>
      </c>
      <c r="U47" s="47">
        <v>0</v>
      </c>
      <c r="V47" s="47">
        <v>0</v>
      </c>
      <c r="W47" s="47">
        <v>0</v>
      </c>
      <c r="X47" s="47">
        <v>0</v>
      </c>
      <c r="Y47" s="47">
        <v>0</v>
      </c>
      <c r="Z47" s="47">
        <v>0</v>
      </c>
      <c r="AA47" s="47">
        <v>0</v>
      </c>
      <c r="AB47" s="47">
        <v>0</v>
      </c>
      <c r="AC47" s="47">
        <v>0</v>
      </c>
      <c r="AD47" s="47">
        <v>0</v>
      </c>
      <c r="AE47" s="47">
        <v>0</v>
      </c>
      <c r="AF47" s="47">
        <v>0</v>
      </c>
      <c r="AG47" s="47">
        <v>0</v>
      </c>
      <c r="AH47" s="47">
        <v>0</v>
      </c>
      <c r="AI47" s="47">
        <v>0</v>
      </c>
      <c r="AJ47" s="47">
        <v>0</v>
      </c>
      <c r="AK47" s="47">
        <v>0</v>
      </c>
      <c r="AL47" s="47">
        <v>0</v>
      </c>
      <c r="AM47" s="286"/>
      <c r="AN47" s="286"/>
      <c r="AO47" s="17"/>
      <c r="AP47" s="17"/>
      <c r="AQ47" s="17"/>
      <c r="AR47" s="17"/>
      <c r="AS47" s="17"/>
      <c r="AT47" s="17"/>
      <c r="AU47" s="17"/>
      <c r="AV47" s="17"/>
      <c r="AW47" s="17"/>
      <c r="AX47" s="17"/>
      <c r="AY47" s="17"/>
      <c r="AZ47" s="17"/>
      <c r="BA47" s="17"/>
      <c r="BB47" s="17"/>
      <c r="BC47" s="17"/>
      <c r="BD47" s="17"/>
      <c r="BE47" s="17"/>
      <c r="BF47" s="17"/>
      <c r="BG47" s="17"/>
      <c r="BH47" s="17"/>
      <c r="BI47" s="17"/>
      <c r="BJ47" s="17"/>
      <c r="BK47" s="17"/>
      <c r="BL47" s="17"/>
      <c r="BM47" s="17"/>
    </row>
    <row r="48" spans="2:69" ht="14">
      <c r="B48" s="187" t="s">
        <v>184</v>
      </c>
      <c r="C48" s="47">
        <v>0</v>
      </c>
      <c r="D48" s="47">
        <v>0</v>
      </c>
      <c r="E48" s="47">
        <v>0</v>
      </c>
      <c r="F48" s="47">
        <v>0</v>
      </c>
      <c r="G48" s="47">
        <v>0</v>
      </c>
      <c r="H48" s="47">
        <v>0</v>
      </c>
      <c r="I48" s="47">
        <v>0</v>
      </c>
      <c r="J48" s="47">
        <v>0</v>
      </c>
      <c r="K48" s="47">
        <v>0</v>
      </c>
      <c r="L48" s="47">
        <v>0</v>
      </c>
      <c r="M48" s="47">
        <v>0</v>
      </c>
      <c r="N48" s="47">
        <v>0</v>
      </c>
      <c r="O48" s="47">
        <v>0</v>
      </c>
      <c r="P48" s="47">
        <v>0</v>
      </c>
      <c r="Q48" s="47">
        <v>0</v>
      </c>
      <c r="R48" s="47">
        <v>0</v>
      </c>
      <c r="S48" s="47">
        <v>0</v>
      </c>
      <c r="T48" s="47">
        <v>0</v>
      </c>
      <c r="U48" s="47">
        <v>0</v>
      </c>
      <c r="V48" s="47">
        <v>0</v>
      </c>
      <c r="W48" s="47">
        <v>0</v>
      </c>
      <c r="X48" s="47">
        <v>0</v>
      </c>
      <c r="Y48" s="47">
        <v>0</v>
      </c>
      <c r="Z48" s="47">
        <v>0</v>
      </c>
      <c r="AA48" s="47">
        <v>0</v>
      </c>
      <c r="AB48" s="47">
        <v>0</v>
      </c>
      <c r="AC48" s="47">
        <v>0</v>
      </c>
      <c r="AD48" s="47">
        <v>0</v>
      </c>
      <c r="AE48" s="47">
        <v>0</v>
      </c>
      <c r="AF48" s="47">
        <v>0</v>
      </c>
      <c r="AG48" s="47">
        <v>0</v>
      </c>
      <c r="AH48" s="47">
        <v>0</v>
      </c>
      <c r="AI48" s="47">
        <v>0</v>
      </c>
      <c r="AJ48" s="47">
        <v>0</v>
      </c>
      <c r="AK48" s="47">
        <v>0</v>
      </c>
      <c r="AL48" s="47">
        <v>0</v>
      </c>
      <c r="AM48" s="47"/>
      <c r="AN48" s="47"/>
    </row>
    <row r="49" spans="2:40" ht="14">
      <c r="B49" s="18" t="s">
        <v>185</v>
      </c>
      <c r="C49" s="47">
        <v>0.35335184608777831</v>
      </c>
      <c r="D49" s="47">
        <v>0.37290614589720966</v>
      </c>
      <c r="E49" s="47">
        <v>0.34808838348910698</v>
      </c>
      <c r="F49" s="47">
        <v>0.34829916452630211</v>
      </c>
      <c r="G49" s="47">
        <v>0.36903447281047042</v>
      </c>
      <c r="H49" s="47">
        <v>0.35608195068595</v>
      </c>
      <c r="I49" s="47">
        <v>0.38884853252881008</v>
      </c>
      <c r="J49" s="47">
        <v>0.37233902609608538</v>
      </c>
      <c r="K49" s="47">
        <v>0.37151775638408541</v>
      </c>
      <c r="L49" s="47">
        <v>0.36451033995253346</v>
      </c>
      <c r="M49" s="47">
        <v>0.33803925256865763</v>
      </c>
      <c r="N49" s="47">
        <v>0.32567213468329409</v>
      </c>
      <c r="O49" s="47">
        <v>0.3146595763229183</v>
      </c>
      <c r="P49" s="47">
        <v>0.32627516224960423</v>
      </c>
      <c r="Q49" s="47">
        <v>0.36700406907804106</v>
      </c>
      <c r="R49" s="47">
        <v>0.35070332257210907</v>
      </c>
      <c r="S49" s="47">
        <v>0.36938146157767837</v>
      </c>
      <c r="T49" s="47">
        <v>0.39261911231766711</v>
      </c>
      <c r="U49" s="47">
        <v>0.38953470895485076</v>
      </c>
      <c r="V49" s="47">
        <v>0.36651180591733279</v>
      </c>
      <c r="W49" s="47">
        <v>0.34457336795396287</v>
      </c>
      <c r="X49" s="47">
        <v>0.41355344034426617</v>
      </c>
      <c r="Y49" s="47">
        <v>0.42134749668773969</v>
      </c>
      <c r="Z49" s="47">
        <v>0.40408286940870697</v>
      </c>
      <c r="AA49" s="47">
        <v>0.42161798548177443</v>
      </c>
      <c r="AB49" s="47">
        <v>0.42161798548177443</v>
      </c>
      <c r="AC49" s="47">
        <v>0.42161798548177443</v>
      </c>
      <c r="AD49" s="47">
        <v>0.42161798548177443</v>
      </c>
      <c r="AE49" s="47">
        <v>0.42161798548177443</v>
      </c>
      <c r="AF49" s="47">
        <v>0.42161798548177443</v>
      </c>
      <c r="AG49" s="47">
        <v>0.42161798548177443</v>
      </c>
      <c r="AH49" s="47">
        <v>0</v>
      </c>
      <c r="AI49" s="47">
        <v>0</v>
      </c>
      <c r="AJ49" s="47">
        <v>0</v>
      </c>
      <c r="AK49" s="47">
        <v>0</v>
      </c>
      <c r="AL49" s="47">
        <v>0</v>
      </c>
      <c r="AM49" s="47"/>
      <c r="AN49" s="47"/>
    </row>
    <row r="50" spans="2:40" ht="14">
      <c r="B50" s="18" t="s">
        <v>186</v>
      </c>
      <c r="C50" s="47">
        <v>-4.2313000270285155</v>
      </c>
      <c r="D50" s="47">
        <v>-5.7560706654113103</v>
      </c>
      <c r="E50" s="47">
        <v>-3.5914565453039757</v>
      </c>
      <c r="F50" s="47">
        <v>-0.44398356051665433</v>
      </c>
      <c r="G50" s="47">
        <v>-4.6176003544006514</v>
      </c>
      <c r="H50" s="47">
        <v>-1.793892233520423</v>
      </c>
      <c r="I50" s="47">
        <v>-4.8551939786888534</v>
      </c>
      <c r="J50" s="47">
        <v>-3.5206480415361043</v>
      </c>
      <c r="K50" s="47">
        <v>-1.6044523232278169</v>
      </c>
      <c r="L50" s="47">
        <v>-4.2894239497104936</v>
      </c>
      <c r="M50" s="47">
        <v>-5.1936625147272091</v>
      </c>
      <c r="N50" s="47">
        <v>-7.7669192747142093</v>
      </c>
      <c r="O50" s="47">
        <v>-7.3657165984778814</v>
      </c>
      <c r="P50" s="47">
        <v>-5.6861289127594707</v>
      </c>
      <c r="Q50" s="47">
        <v>-6.847519075414314</v>
      </c>
      <c r="R50" s="47">
        <v>-8.86437300358679</v>
      </c>
      <c r="S50" s="47">
        <v>-4.5522242864958695</v>
      </c>
      <c r="T50" s="47">
        <v>-7.488789427401815</v>
      </c>
      <c r="U50" s="47">
        <v>-5.5159840667785023</v>
      </c>
      <c r="V50" s="47">
        <v>-4.7037643652408025</v>
      </c>
      <c r="W50" s="47">
        <v>-4.7652046509287311</v>
      </c>
      <c r="X50" s="47">
        <v>-9.254831260186231</v>
      </c>
      <c r="Y50" s="47">
        <v>-7.3806145695040914</v>
      </c>
      <c r="Z50" s="47">
        <v>-2.3377710431397354</v>
      </c>
      <c r="AA50" s="47">
        <v>-5.2530612543306887</v>
      </c>
      <c r="AB50" s="47">
        <v>-6.0816246785504164</v>
      </c>
      <c r="AC50" s="47">
        <v>-5.9127698661019892</v>
      </c>
      <c r="AD50" s="47">
        <v>-5.9684077846127259</v>
      </c>
      <c r="AE50" s="47">
        <v>-5.1643715159107817</v>
      </c>
      <c r="AF50" s="47">
        <v>-4.8889583904479981</v>
      </c>
      <c r="AG50" s="47">
        <v>-6.2078993103152653</v>
      </c>
      <c r="AH50" s="47">
        <v>0</v>
      </c>
      <c r="AI50" s="47">
        <v>0</v>
      </c>
      <c r="AJ50" s="47">
        <v>0</v>
      </c>
      <c r="AK50" s="47">
        <v>0</v>
      </c>
      <c r="AL50" s="47">
        <v>0</v>
      </c>
      <c r="AM50" s="47"/>
      <c r="AN50" s="47"/>
    </row>
    <row r="51" spans="2:40" s="18" customFormat="1" ht="13">
      <c r="B51" s="346" t="s">
        <v>132</v>
      </c>
      <c r="C51" s="360"/>
      <c r="D51" s="360"/>
      <c r="E51" s="360"/>
      <c r="F51" s="360"/>
      <c r="G51" s="360"/>
      <c r="H51" s="360"/>
      <c r="I51" s="360"/>
      <c r="J51" s="360"/>
      <c r="K51" s="360"/>
      <c r="L51" s="360"/>
      <c r="M51" s="360"/>
      <c r="N51" s="360"/>
      <c r="O51" s="360"/>
      <c r="P51" s="360"/>
      <c r="Q51" s="360"/>
      <c r="R51" s="360"/>
      <c r="S51" s="360"/>
      <c r="T51" s="360"/>
      <c r="U51" s="360"/>
      <c r="V51" s="360"/>
      <c r="W51" s="360"/>
      <c r="X51" s="360"/>
      <c r="Y51" s="360"/>
      <c r="Z51" s="360"/>
      <c r="AA51" s="360"/>
      <c r="AB51" s="360"/>
      <c r="AC51" s="360"/>
      <c r="AD51" s="360"/>
      <c r="AE51" s="360"/>
      <c r="AF51" s="360"/>
      <c r="AG51" s="360"/>
      <c r="AH51" s="360"/>
      <c r="AI51" s="360"/>
      <c r="AJ51" s="360"/>
      <c r="AK51" s="360"/>
      <c r="AL51" s="360"/>
      <c r="AM51" s="47"/>
      <c r="AN51" s="47"/>
    </row>
    <row r="52" spans="2:40" s="18" customFormat="1" ht="13">
      <c r="B52" s="346" t="s">
        <v>143</v>
      </c>
      <c r="C52" s="361"/>
      <c r="D52" s="361"/>
      <c r="E52" s="361"/>
      <c r="F52" s="361"/>
      <c r="G52" s="361"/>
      <c r="H52" s="361"/>
      <c r="I52" s="361"/>
      <c r="J52" s="361"/>
      <c r="K52" s="361"/>
      <c r="L52" s="361"/>
      <c r="M52" s="361"/>
      <c r="N52" s="361"/>
      <c r="O52" s="361"/>
      <c r="P52" s="361"/>
      <c r="Q52" s="361"/>
      <c r="R52" s="361"/>
      <c r="S52" s="361"/>
      <c r="T52" s="361"/>
      <c r="U52" s="361"/>
      <c r="V52" s="361"/>
      <c r="W52" s="361"/>
      <c r="X52" s="361"/>
      <c r="Y52" s="361"/>
      <c r="Z52" s="361"/>
      <c r="AA52" s="361"/>
      <c r="AB52" s="361"/>
      <c r="AC52" s="361"/>
      <c r="AD52" s="361"/>
      <c r="AE52" s="361"/>
      <c r="AF52" s="361"/>
      <c r="AG52" s="361"/>
      <c r="AH52" s="361"/>
      <c r="AI52" s="361"/>
      <c r="AJ52" s="361"/>
      <c r="AK52" s="361"/>
      <c r="AL52" s="361"/>
      <c r="AM52" s="47"/>
      <c r="AN52" s="47"/>
    </row>
    <row r="53" spans="2:40" ht="14.5" thickBot="1">
      <c r="B53" s="199" t="s">
        <v>133</v>
      </c>
      <c r="C53" s="362"/>
      <c r="D53" s="362"/>
      <c r="E53" s="362"/>
      <c r="F53" s="362"/>
      <c r="G53" s="362"/>
      <c r="H53" s="362"/>
      <c r="I53" s="362"/>
      <c r="J53" s="362"/>
      <c r="K53" s="362"/>
      <c r="L53" s="362"/>
      <c r="M53" s="362"/>
      <c r="N53" s="362"/>
      <c r="O53" s="362"/>
      <c r="P53" s="362"/>
      <c r="Q53" s="362"/>
      <c r="R53" s="362"/>
      <c r="S53" s="362"/>
      <c r="T53" s="362"/>
      <c r="U53" s="362"/>
      <c r="V53" s="362"/>
      <c r="W53" s="362"/>
      <c r="X53" s="362"/>
      <c r="Y53" s="362"/>
      <c r="Z53" s="362"/>
      <c r="AA53" s="362"/>
      <c r="AB53" s="362"/>
      <c r="AC53" s="362"/>
      <c r="AD53" s="362"/>
      <c r="AE53" s="362"/>
      <c r="AF53" s="362"/>
      <c r="AG53" s="363"/>
      <c r="AH53" s="363"/>
      <c r="AI53" s="363"/>
      <c r="AJ53" s="363"/>
      <c r="AK53" s="363"/>
      <c r="AL53" s="363"/>
    </row>
    <row r="54" spans="2:40" ht="14.5" thickBot="1">
      <c r="B54" s="334" t="s">
        <v>90</v>
      </c>
      <c r="C54" s="335">
        <f>SUM(C49,C40,C41,C46,C10,C50, C51:C53)</f>
        <v>-13.699117039838162</v>
      </c>
      <c r="D54" s="335">
        <f t="shared" ref="D54:AG54" si="0">SUM(D49,D40,D41,D46,D10,D50, D51:D53)</f>
        <v>-15.143622097032821</v>
      </c>
      <c r="E54" s="335">
        <f t="shared" si="0"/>
        <v>-12.998539483371866</v>
      </c>
      <c r="F54" s="335">
        <f t="shared" si="0"/>
        <v>-10.003001981195077</v>
      </c>
      <c r="G54" s="335">
        <f t="shared" si="0"/>
        <v>-14.108443863895452</v>
      </c>
      <c r="H54" s="335">
        <f t="shared" si="0"/>
        <v>-11.189449506787284</v>
      </c>
      <c r="I54" s="335">
        <f t="shared" si="0"/>
        <v>-14.121763882988624</v>
      </c>
      <c r="J54" s="335">
        <f t="shared" si="0"/>
        <v>-12.851547809002589</v>
      </c>
      <c r="K54" s="335">
        <f t="shared" si="0"/>
        <v>-10.977013021338911</v>
      </c>
      <c r="L54" s="335">
        <f t="shared" si="0"/>
        <v>-13.627449358955047</v>
      </c>
      <c r="M54" s="335">
        <f t="shared" si="0"/>
        <v>-14.542014639906871</v>
      </c>
      <c r="N54" s="335">
        <f t="shared" si="0"/>
        <v>-17.123133564840487</v>
      </c>
      <c r="O54" s="335">
        <f t="shared" si="0"/>
        <v>-16.714732031666955</v>
      </c>
      <c r="P54" s="335">
        <f t="shared" si="0"/>
        <v>-14.945681781098145</v>
      </c>
      <c r="Q54" s="335">
        <f t="shared" si="0"/>
        <v>-16.081108898903086</v>
      </c>
      <c r="R54" s="335">
        <f t="shared" si="0"/>
        <v>-18.102028594036948</v>
      </c>
      <c r="S54" s="335">
        <f t="shared" si="0"/>
        <v>-13.784427067292595</v>
      </c>
      <c r="T54" s="335">
        <f t="shared" si="0"/>
        <v>-16.684624314779775</v>
      </c>
      <c r="U54" s="335">
        <f t="shared" si="0"/>
        <v>-14.703710682033565</v>
      </c>
      <c r="V54" s="335">
        <f t="shared" si="0"/>
        <v>-13.98303799660413</v>
      </c>
      <c r="W54" s="335">
        <f t="shared" si="0"/>
        <v>-14.188509507168526</v>
      </c>
      <c r="X54" s="335">
        <f t="shared" si="0"/>
        <v>-18.648874860235161</v>
      </c>
      <c r="Y54" s="335">
        <f t="shared" si="0"/>
        <v>-16.827854258156158</v>
      </c>
      <c r="Z54" s="335">
        <f t="shared" si="0"/>
        <v>-11.857699923865441</v>
      </c>
      <c r="AA54" s="335">
        <f t="shared" si="0"/>
        <v>-14.768276349585218</v>
      </c>
      <c r="AB54" s="335">
        <f t="shared" si="0"/>
        <v>-15.672493954454531</v>
      </c>
      <c r="AC54" s="335">
        <f t="shared" si="0"/>
        <v>-15.422641452552661</v>
      </c>
      <c r="AD54" s="335">
        <f t="shared" si="0"/>
        <v>-15.381851212415267</v>
      </c>
      <c r="AE54" s="335">
        <f t="shared" si="0"/>
        <v>-14.616326212037889</v>
      </c>
      <c r="AF54" s="335">
        <f t="shared" si="0"/>
        <v>-14.264479138366697</v>
      </c>
      <c r="AG54" s="335">
        <f t="shared" si="0"/>
        <v>-15.509148179505491</v>
      </c>
      <c r="AH54" s="335">
        <f t="shared" ref="AH54:AL54" si="1">SUM(AH49,AH40,AH41,AH46,AH10,AH50, AH51:AH53)</f>
        <v>0</v>
      </c>
      <c r="AI54" s="335">
        <f t="shared" si="1"/>
        <v>0</v>
      </c>
      <c r="AJ54" s="335">
        <f t="shared" si="1"/>
        <v>0</v>
      </c>
      <c r="AK54" s="335">
        <f t="shared" si="1"/>
        <v>0</v>
      </c>
      <c r="AL54" s="335">
        <f t="shared" si="1"/>
        <v>0</v>
      </c>
      <c r="AM54" s="47"/>
      <c r="AN54" s="47"/>
    </row>
    <row r="55" spans="2:40" s="279" customFormat="1" ht="14">
      <c r="B55" s="279">
        <f>MAX(C55:AL55)</f>
        <v>2020</v>
      </c>
      <c r="C55" s="279">
        <v>1990</v>
      </c>
      <c r="D55" s="279">
        <f>IF(D54=0,0,D9)</f>
        <v>1991</v>
      </c>
      <c r="E55" s="279">
        <f t="shared" ref="E55:AL55" si="2">IF(E54=0,0,E9)</f>
        <v>1992</v>
      </c>
      <c r="F55" s="279">
        <f t="shared" si="2"/>
        <v>1993</v>
      </c>
      <c r="G55" s="279">
        <f t="shared" si="2"/>
        <v>1994</v>
      </c>
      <c r="H55" s="279">
        <f t="shared" si="2"/>
        <v>1995</v>
      </c>
      <c r="I55" s="279">
        <f t="shared" si="2"/>
        <v>1996</v>
      </c>
      <c r="J55" s="279">
        <f t="shared" si="2"/>
        <v>1997</v>
      </c>
      <c r="K55" s="279">
        <f t="shared" si="2"/>
        <v>1998</v>
      </c>
      <c r="L55" s="279">
        <f t="shared" si="2"/>
        <v>1999</v>
      </c>
      <c r="M55" s="279">
        <f t="shared" si="2"/>
        <v>2000</v>
      </c>
      <c r="N55" s="279">
        <f t="shared" si="2"/>
        <v>2001</v>
      </c>
      <c r="O55" s="279">
        <f t="shared" si="2"/>
        <v>2002</v>
      </c>
      <c r="P55" s="279">
        <f t="shared" si="2"/>
        <v>2003</v>
      </c>
      <c r="Q55" s="279">
        <f t="shared" si="2"/>
        <v>2004</v>
      </c>
      <c r="R55" s="279">
        <f t="shared" si="2"/>
        <v>2005</v>
      </c>
      <c r="S55" s="279">
        <f t="shared" si="2"/>
        <v>2006</v>
      </c>
      <c r="T55" s="279">
        <f t="shared" si="2"/>
        <v>2007</v>
      </c>
      <c r="U55" s="279">
        <f t="shared" si="2"/>
        <v>2008</v>
      </c>
      <c r="V55" s="279">
        <f t="shared" si="2"/>
        <v>2009</v>
      </c>
      <c r="W55" s="279">
        <f t="shared" si="2"/>
        <v>2010</v>
      </c>
      <c r="X55" s="279">
        <f t="shared" si="2"/>
        <v>2011</v>
      </c>
      <c r="Y55" s="279">
        <f t="shared" si="2"/>
        <v>2012</v>
      </c>
      <c r="Z55" s="279">
        <f t="shared" si="2"/>
        <v>2013</v>
      </c>
      <c r="AA55" s="279">
        <f t="shared" si="2"/>
        <v>2014</v>
      </c>
      <c r="AB55" s="279">
        <f t="shared" si="2"/>
        <v>2015</v>
      </c>
      <c r="AC55" s="279">
        <f t="shared" si="2"/>
        <v>2016</v>
      </c>
      <c r="AD55" s="279">
        <f t="shared" si="2"/>
        <v>2017</v>
      </c>
      <c r="AE55" s="279">
        <f t="shared" si="2"/>
        <v>2018</v>
      </c>
      <c r="AF55" s="279">
        <f t="shared" si="2"/>
        <v>2019</v>
      </c>
      <c r="AG55" s="279">
        <f t="shared" si="2"/>
        <v>2020</v>
      </c>
      <c r="AH55" s="279">
        <f t="shared" si="2"/>
        <v>0</v>
      </c>
      <c r="AI55" s="279">
        <f t="shared" si="2"/>
        <v>0</v>
      </c>
      <c r="AJ55" s="279">
        <f t="shared" si="2"/>
        <v>0</v>
      </c>
      <c r="AK55" s="279">
        <f t="shared" si="2"/>
        <v>0</v>
      </c>
      <c r="AL55" s="279">
        <f t="shared" si="2"/>
        <v>0</v>
      </c>
      <c r="AM55" s="403"/>
      <c r="AN55" s="403"/>
    </row>
    <row r="56" spans="2:40" s="284" customFormat="1" ht="14">
      <c r="AM56" s="213"/>
      <c r="AN56" s="213"/>
    </row>
    <row r="57" spans="2:40" s="348" customFormat="1" ht="15.5">
      <c r="C57" s="349">
        <v>1</v>
      </c>
      <c r="D57" s="322">
        <f>IF(D9&lt;=$B55,C57+1,0)</f>
        <v>2</v>
      </c>
      <c r="E57" s="322">
        <f t="shared" ref="E57:AL57" si="3">IF(E9&lt;=$B55,D57+1,0)</f>
        <v>3</v>
      </c>
      <c r="F57" s="322">
        <f t="shared" si="3"/>
        <v>4</v>
      </c>
      <c r="G57" s="322">
        <f t="shared" si="3"/>
        <v>5</v>
      </c>
      <c r="H57" s="322">
        <f t="shared" si="3"/>
        <v>6</v>
      </c>
      <c r="I57" s="322">
        <f t="shared" si="3"/>
        <v>7</v>
      </c>
      <c r="J57" s="322">
        <f t="shared" si="3"/>
        <v>8</v>
      </c>
      <c r="K57" s="322">
        <f t="shared" si="3"/>
        <v>9</v>
      </c>
      <c r="L57" s="322">
        <f t="shared" si="3"/>
        <v>10</v>
      </c>
      <c r="M57" s="322">
        <f t="shared" si="3"/>
        <v>11</v>
      </c>
      <c r="N57" s="322">
        <f t="shared" si="3"/>
        <v>12</v>
      </c>
      <c r="O57" s="322">
        <f t="shared" si="3"/>
        <v>13</v>
      </c>
      <c r="P57" s="322">
        <f t="shared" si="3"/>
        <v>14</v>
      </c>
      <c r="Q57" s="322">
        <f t="shared" si="3"/>
        <v>15</v>
      </c>
      <c r="R57" s="322">
        <f t="shared" si="3"/>
        <v>16</v>
      </c>
      <c r="S57" s="322">
        <f t="shared" si="3"/>
        <v>17</v>
      </c>
      <c r="T57" s="322">
        <f t="shared" si="3"/>
        <v>18</v>
      </c>
      <c r="U57" s="322">
        <f t="shared" si="3"/>
        <v>19</v>
      </c>
      <c r="V57" s="322">
        <f t="shared" si="3"/>
        <v>20</v>
      </c>
      <c r="W57" s="322">
        <f t="shared" si="3"/>
        <v>21</v>
      </c>
      <c r="X57" s="322">
        <f t="shared" si="3"/>
        <v>22</v>
      </c>
      <c r="Y57" s="322">
        <f t="shared" si="3"/>
        <v>23</v>
      </c>
      <c r="Z57" s="322">
        <f t="shared" si="3"/>
        <v>24</v>
      </c>
      <c r="AA57" s="322">
        <f t="shared" si="3"/>
        <v>25</v>
      </c>
      <c r="AB57" s="322">
        <f t="shared" si="3"/>
        <v>26</v>
      </c>
      <c r="AC57" s="322">
        <f t="shared" si="3"/>
        <v>27</v>
      </c>
      <c r="AD57" s="322">
        <f t="shared" si="3"/>
        <v>28</v>
      </c>
      <c r="AE57" s="322">
        <f t="shared" si="3"/>
        <v>29</v>
      </c>
      <c r="AF57" s="322">
        <f t="shared" si="3"/>
        <v>30</v>
      </c>
      <c r="AG57" s="322">
        <f t="shared" si="3"/>
        <v>31</v>
      </c>
      <c r="AH57" s="322">
        <f t="shared" si="3"/>
        <v>0</v>
      </c>
      <c r="AI57" s="322">
        <f t="shared" si="3"/>
        <v>0</v>
      </c>
      <c r="AJ57" s="322">
        <f t="shared" si="3"/>
        <v>0</v>
      </c>
      <c r="AK57" s="322">
        <f t="shared" si="3"/>
        <v>0</v>
      </c>
      <c r="AL57" s="322">
        <f t="shared" si="3"/>
        <v>0</v>
      </c>
    </row>
    <row r="58" spans="2:40" s="284" customFormat="1"/>
    <row r="59" spans="2:40">
      <c r="L59" s="279" t="str">
        <f>"Carbon Emissions and Sequestration from Land-Use Change and Forestry, 1990-"&amp;B55</f>
        <v>Carbon Emissions and Sequestration from Land-Use Change and Forestry, 1990-2020</v>
      </c>
      <c r="M59" s="291"/>
      <c r="N59" s="291"/>
      <c r="O59" s="291"/>
      <c r="P59" s="291"/>
      <c r="Q59" s="291"/>
      <c r="R59" s="291"/>
    </row>
    <row r="60" spans="2:40">
      <c r="B60" s="152"/>
      <c r="L60" s="279" t="str">
        <f>"Carbon Emissions and Sequestration from Forest Carbon Flux, 1990-"&amp;B55</f>
        <v>Carbon Emissions and Sequestration from Forest Carbon Flux, 1990-2020</v>
      </c>
      <c r="M60" s="291"/>
      <c r="N60" s="291"/>
      <c r="O60" s="291"/>
      <c r="P60" s="291"/>
      <c r="Q60" s="291"/>
      <c r="R60" s="291"/>
    </row>
    <row r="61" spans="2:40">
      <c r="L61" s="279"/>
      <c r="M61" s="291"/>
      <c r="N61" s="291"/>
      <c r="O61" s="291"/>
      <c r="P61" s="291"/>
      <c r="Q61" s="291"/>
      <c r="R61" s="291"/>
    </row>
    <row r="62" spans="2:40">
      <c r="L62" s="291"/>
      <c r="M62" s="291"/>
      <c r="N62" s="291"/>
      <c r="O62" s="291"/>
      <c r="P62" s="291"/>
      <c r="Q62" s="291"/>
      <c r="R62" s="291"/>
    </row>
    <row r="63" spans="2:40">
      <c r="L63" s="291"/>
      <c r="M63" s="291"/>
      <c r="N63" s="291"/>
      <c r="O63" s="291"/>
      <c r="P63" s="291"/>
      <c r="Q63" s="291"/>
      <c r="R63" s="291"/>
    </row>
    <row r="64" spans="2:40">
      <c r="L64" s="291"/>
      <c r="M64" s="291"/>
      <c r="N64" s="291"/>
      <c r="O64" s="291"/>
      <c r="P64" s="291"/>
      <c r="Q64" s="291"/>
      <c r="R64" s="291"/>
    </row>
    <row r="65" spans="12:18">
      <c r="L65" s="291"/>
      <c r="M65" s="291"/>
      <c r="N65" s="291"/>
      <c r="O65" s="291"/>
      <c r="P65" s="291"/>
      <c r="Q65" s="291"/>
      <c r="R65" s="291"/>
    </row>
    <row r="66" spans="12:18">
      <c r="L66" s="291"/>
      <c r="M66" s="291"/>
      <c r="N66" s="291"/>
      <c r="O66" s="291"/>
      <c r="P66" s="291"/>
      <c r="Q66" s="291"/>
      <c r="R66" s="291"/>
    </row>
    <row r="67" spans="12:18">
      <c r="L67" s="291"/>
      <c r="M67" s="291"/>
      <c r="N67" s="291"/>
      <c r="O67" s="291"/>
      <c r="P67" s="291"/>
      <c r="Q67" s="291"/>
      <c r="R67" s="291"/>
    </row>
    <row r="68" spans="12:18">
      <c r="L68" s="291"/>
      <c r="M68" s="291"/>
      <c r="N68" s="291"/>
      <c r="O68" s="291"/>
      <c r="P68" s="291"/>
      <c r="Q68" s="291"/>
      <c r="R68" s="291"/>
    </row>
    <row r="69" spans="12:18">
      <c r="L69" s="291"/>
      <c r="M69" s="291"/>
      <c r="N69" s="291"/>
      <c r="O69" s="291"/>
      <c r="P69" s="291"/>
      <c r="Q69" s="291"/>
      <c r="R69" s="291"/>
    </row>
    <row r="70" spans="12:18">
      <c r="L70" s="291"/>
      <c r="M70" s="291"/>
      <c r="N70" s="291"/>
      <c r="O70" s="291"/>
      <c r="P70" s="291"/>
      <c r="Q70" s="291"/>
      <c r="R70" s="291"/>
    </row>
    <row r="71" spans="12:18">
      <c r="L71" s="291"/>
      <c r="M71" s="291"/>
      <c r="N71" s="291"/>
      <c r="O71" s="291"/>
      <c r="P71" s="291"/>
      <c r="Q71" s="291"/>
      <c r="R71" s="291"/>
    </row>
    <row r="72" spans="12:18">
      <c r="L72" s="291"/>
      <c r="M72" s="291"/>
      <c r="N72" s="291"/>
      <c r="O72" s="291"/>
      <c r="P72" s="291"/>
      <c r="Q72" s="291"/>
      <c r="R72" s="291"/>
    </row>
    <row r="73" spans="12:18">
      <c r="L73" s="291"/>
      <c r="M73" s="291"/>
      <c r="N73" s="291"/>
      <c r="O73" s="291"/>
      <c r="P73" s="291"/>
      <c r="Q73" s="291"/>
      <c r="R73" s="291"/>
    </row>
    <row r="74" spans="12:18">
      <c r="L74" s="291"/>
      <c r="M74" s="291"/>
      <c r="N74" s="291"/>
      <c r="O74" s="291"/>
      <c r="P74" s="291"/>
      <c r="Q74" s="291"/>
      <c r="R74" s="291"/>
    </row>
    <row r="75" spans="12:18">
      <c r="L75" s="291"/>
      <c r="M75" s="291"/>
      <c r="N75" s="291"/>
      <c r="O75" s="291"/>
      <c r="P75" s="291"/>
      <c r="Q75" s="291"/>
      <c r="R75" s="291"/>
    </row>
    <row r="76" spans="12:18">
      <c r="L76" s="291"/>
      <c r="M76" s="291"/>
      <c r="N76" s="291"/>
      <c r="O76" s="291"/>
      <c r="P76" s="291"/>
      <c r="Q76" s="291"/>
      <c r="R76" s="291"/>
    </row>
    <row r="77" spans="12:18">
      <c r="L77" s="291"/>
      <c r="M77" s="291"/>
      <c r="N77" s="291"/>
      <c r="O77" s="291"/>
      <c r="P77" s="291"/>
      <c r="Q77" s="291"/>
      <c r="R77" s="291"/>
    </row>
    <row r="78" spans="12:18">
      <c r="L78" s="291"/>
      <c r="M78" s="291"/>
      <c r="N78" s="291"/>
      <c r="O78" s="291"/>
      <c r="P78" s="291"/>
      <c r="Q78" s="291"/>
      <c r="R78" s="291"/>
    </row>
  </sheetData>
  <sheetProtection algorithmName="SHA-512" hashValue="ftgWuf+XT6MDXSUhr3k/D1ZARCIjZBGBgoTM6BazcxfaaRS7toev4e+kNP/gYKKdVK6Zn3pWSmKt6qs6l9J0QQ==" saltValue="Dc+aHT9bHATtgzGp7S+5wQ==" spinCount="100000" sheet="1" objects="1" scenarios="1"/>
  <protectedRanges>
    <protectedRange sqref="C51:AL52" name="AES Forest"/>
  </protectedRanges>
  <mergeCells count="1">
    <mergeCell ref="A1:G1"/>
  </mergeCells>
  <phoneticPr fontId="17" type="noConversion"/>
  <pageMargins left="0.75" right="0.75" top="1" bottom="1" header="0.5" footer="0.5"/>
  <pageSetup orientation="portrait" horizontalDpi="96" verticalDpi="96"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09"/>
  <dimension ref="A1:AZ60"/>
  <sheetViews>
    <sheetView showGridLines="0" showRowColHeaders="0" workbookViewId="0">
      <selection activeCell="B6" sqref="B6"/>
    </sheetView>
  </sheetViews>
  <sheetFormatPr defaultColWidth="9.1796875" defaultRowHeight="12.5"/>
  <cols>
    <col min="1" max="1" width="3.54296875" style="82" customWidth="1"/>
    <col min="2" max="2" width="26.26953125" style="82" customWidth="1"/>
    <col min="3" max="13" width="12.81640625" style="82" customWidth="1"/>
    <col min="14" max="33" width="12.26953125" style="82" customWidth="1"/>
    <col min="34" max="16384" width="9.1796875" style="82"/>
  </cols>
  <sheetData>
    <row r="1" spans="1:52" ht="43.5" customHeight="1">
      <c r="A1" s="426" t="str">
        <f>"Summary of GHG Emissions from Solid Waste in "&amp;StateName&amp;" (MMTCO2E)"</f>
        <v>Summary of GHG Emissions from Solid Waste in Illinois (MMTCO2E)</v>
      </c>
      <c r="B1" s="426"/>
      <c r="C1" s="426"/>
      <c r="D1" s="426"/>
      <c r="E1" s="426"/>
      <c r="AZ1" s="82">
        <v>45329.444382060188</v>
      </c>
    </row>
    <row r="2" spans="1:52" ht="64.5" customHeight="1">
      <c r="A2" s="83"/>
    </row>
    <row r="3" spans="1:52" ht="15" customHeight="1">
      <c r="B3" s="84" t="s">
        <v>187</v>
      </c>
    </row>
    <row r="4" spans="1:52" s="85" customFormat="1" ht="13">
      <c r="A4" s="281"/>
      <c r="B4" s="86"/>
      <c r="C4" s="86">
        <v>1990</v>
      </c>
      <c r="D4" s="86">
        <v>1991</v>
      </c>
      <c r="E4" s="86">
        <v>1992</v>
      </c>
      <c r="F4" s="86">
        <v>1993</v>
      </c>
      <c r="G4" s="86">
        <v>1994</v>
      </c>
      <c r="H4" s="86">
        <v>1995</v>
      </c>
      <c r="I4" s="86">
        <v>1996</v>
      </c>
      <c r="J4" s="86">
        <v>1997</v>
      </c>
      <c r="K4" s="86">
        <v>1998</v>
      </c>
      <c r="L4" s="86">
        <v>1999</v>
      </c>
      <c r="M4" s="86">
        <v>2000</v>
      </c>
      <c r="N4" s="86">
        <v>2001</v>
      </c>
      <c r="O4" s="86">
        <v>2002</v>
      </c>
      <c r="P4" s="86">
        <v>2003</v>
      </c>
      <c r="Q4" s="86">
        <v>2004</v>
      </c>
      <c r="R4" s="86">
        <v>2005</v>
      </c>
      <c r="S4" s="86">
        <v>2006</v>
      </c>
      <c r="T4" s="86">
        <v>2007</v>
      </c>
      <c r="U4" s="86">
        <v>2008</v>
      </c>
      <c r="V4" s="86">
        <v>2009</v>
      </c>
      <c r="W4" s="86">
        <v>2010</v>
      </c>
      <c r="X4" s="86">
        <v>2011</v>
      </c>
      <c r="Y4" s="86">
        <v>2012</v>
      </c>
      <c r="Z4" s="86">
        <v>2013</v>
      </c>
      <c r="AA4" s="86">
        <v>2014</v>
      </c>
      <c r="AB4" s="86">
        <v>2015</v>
      </c>
      <c r="AC4" s="86">
        <v>2016</v>
      </c>
      <c r="AD4" s="86">
        <v>2017</v>
      </c>
      <c r="AE4" s="86">
        <v>2018</v>
      </c>
      <c r="AF4" s="86">
        <v>2019</v>
      </c>
      <c r="AG4" s="86">
        <v>2020</v>
      </c>
      <c r="AH4" s="86">
        <v>2021</v>
      </c>
      <c r="AI4" s="86">
        <v>2022</v>
      </c>
      <c r="AJ4" s="86">
        <v>2023</v>
      </c>
      <c r="AK4" s="86">
        <v>2024</v>
      </c>
      <c r="AL4" s="86">
        <v>2025</v>
      </c>
    </row>
    <row r="5" spans="1:52" s="85" customFormat="1" ht="13">
      <c r="A5" s="281"/>
      <c r="B5" s="87" t="s">
        <v>188</v>
      </c>
      <c r="C5" s="88">
        <f>C8+(C23+C32)/10^6</f>
        <v>10.138660692814389</v>
      </c>
      <c r="D5" s="88">
        <f t="shared" ref="D5:AG5" si="0">D8+(D23+D32)/10^6</f>
        <v>10.330239864881969</v>
      </c>
      <c r="E5" s="88">
        <f t="shared" si="0"/>
        <v>10.68164016909946</v>
      </c>
      <c r="F5" s="88">
        <f t="shared" si="0"/>
        <v>10.973794724730368</v>
      </c>
      <c r="G5" s="88">
        <f t="shared" si="0"/>
        <v>11.175567222626427</v>
      </c>
      <c r="H5" s="88">
        <f t="shared" si="0"/>
        <v>11.478922071683447</v>
      </c>
      <c r="I5" s="88">
        <f t="shared" si="0"/>
        <v>11.611722615703426</v>
      </c>
      <c r="J5" s="88">
        <f t="shared" si="0"/>
        <v>11.371495676686024</v>
      </c>
      <c r="K5" s="88">
        <f t="shared" si="0"/>
        <v>10.268691533186461</v>
      </c>
      <c r="L5" s="88">
        <f t="shared" si="0"/>
        <v>9.924375606579618</v>
      </c>
      <c r="M5" s="88">
        <f t="shared" si="0"/>
        <v>8.9551503861872064</v>
      </c>
      <c r="N5" s="88">
        <f t="shared" si="0"/>
        <v>3.1767543165584313</v>
      </c>
      <c r="O5" s="88">
        <f t="shared" si="0"/>
        <v>5.4580927198451636</v>
      </c>
      <c r="P5" s="88">
        <f t="shared" si="0"/>
        <v>7.8493182708030371</v>
      </c>
      <c r="Q5" s="88">
        <f t="shared" si="0"/>
        <v>8.2301993740487731</v>
      </c>
      <c r="R5" s="88">
        <f t="shared" si="0"/>
        <v>9.5121015767096342</v>
      </c>
      <c r="S5" s="88">
        <f t="shared" si="0"/>
        <v>10.809006236431602</v>
      </c>
      <c r="T5" s="88">
        <f t="shared" si="0"/>
        <v>11.754240735724323</v>
      </c>
      <c r="U5" s="88">
        <f t="shared" si="0"/>
        <v>11.752923681697323</v>
      </c>
      <c r="V5" s="88">
        <f t="shared" si="0"/>
        <v>10.895241129798389</v>
      </c>
      <c r="W5" s="88">
        <f t="shared" si="0"/>
        <v>10.572857574066449</v>
      </c>
      <c r="X5" s="88">
        <f t="shared" si="0"/>
        <v>10.233065441373251</v>
      </c>
      <c r="Y5" s="88">
        <f t="shared" si="0"/>
        <v>8.6471991314852943</v>
      </c>
      <c r="Z5" s="88">
        <f t="shared" si="0"/>
        <v>7.8235794135058496</v>
      </c>
      <c r="AA5" s="88">
        <f t="shared" si="0"/>
        <v>7.8266013548536053</v>
      </c>
      <c r="AB5" s="88">
        <f t="shared" si="0"/>
        <v>7.7268475586059999</v>
      </c>
      <c r="AC5" s="88">
        <f t="shared" si="0"/>
        <v>7.9418372686387126</v>
      </c>
      <c r="AD5" s="88">
        <f t="shared" si="0"/>
        <v>8.5783824107441013</v>
      </c>
      <c r="AE5" s="88">
        <f t="shared" si="0"/>
        <v>8.0924761488891281</v>
      </c>
      <c r="AF5" s="88">
        <f t="shared" si="0"/>
        <v>6.6280013006348639</v>
      </c>
      <c r="AG5" s="88">
        <f t="shared" si="0"/>
        <v>5.5900148134842613</v>
      </c>
      <c r="AH5" s="88">
        <f t="shared" ref="AH5:AL5" si="1">AH8+(AH23+AH32)/10^6</f>
        <v>0</v>
      </c>
      <c r="AI5" s="88">
        <f t="shared" si="1"/>
        <v>0</v>
      </c>
      <c r="AJ5" s="88">
        <f t="shared" si="1"/>
        <v>0</v>
      </c>
      <c r="AK5" s="88">
        <f t="shared" si="1"/>
        <v>0</v>
      </c>
      <c r="AL5" s="88">
        <f t="shared" si="1"/>
        <v>0</v>
      </c>
    </row>
    <row r="6" spans="1:52" s="85" customFormat="1" ht="13">
      <c r="A6" s="281"/>
      <c r="B6" s="89" t="s">
        <v>189</v>
      </c>
      <c r="C6" s="90">
        <f>C9+C27/10^6</f>
        <v>9.7396116923478854E-2</v>
      </c>
      <c r="D6" s="90">
        <f t="shared" ref="D6:AG6" si="2">D9+D27/10^6</f>
        <v>0.12084007285876185</v>
      </c>
      <c r="E6" s="90">
        <f t="shared" si="2"/>
        <v>0.11485480727145558</v>
      </c>
      <c r="F6" s="90">
        <f t="shared" si="2"/>
        <v>0.12841266331608381</v>
      </c>
      <c r="G6" s="90">
        <f t="shared" si="2"/>
        <v>0.13014074264596626</v>
      </c>
      <c r="H6" s="90">
        <f t="shared" si="2"/>
        <v>6.2310373750787761E-2</v>
      </c>
      <c r="I6" s="90">
        <f t="shared" si="2"/>
        <v>6.3155450959526765E-2</v>
      </c>
      <c r="J6" s="90">
        <f t="shared" si="2"/>
        <v>0</v>
      </c>
      <c r="K6" s="90">
        <f t="shared" si="2"/>
        <v>6.5409947883470501E-2</v>
      </c>
      <c r="L6" s="90">
        <f t="shared" si="2"/>
        <v>0.13872181177278833</v>
      </c>
      <c r="M6" s="90">
        <f t="shared" si="2"/>
        <v>8.0985810664499586E-2</v>
      </c>
      <c r="N6" s="90">
        <f t="shared" si="2"/>
        <v>4.2322065294592204E-2</v>
      </c>
      <c r="O6" s="90">
        <f t="shared" si="2"/>
        <v>0</v>
      </c>
      <c r="P6" s="90">
        <f t="shared" si="2"/>
        <v>0</v>
      </c>
      <c r="Q6" s="90">
        <f t="shared" si="2"/>
        <v>0</v>
      </c>
      <c r="R6" s="90">
        <f t="shared" si="2"/>
        <v>0</v>
      </c>
      <c r="S6" s="90">
        <f t="shared" si="2"/>
        <v>0</v>
      </c>
      <c r="T6" s="90">
        <f t="shared" si="2"/>
        <v>0</v>
      </c>
      <c r="U6" s="90">
        <f t="shared" si="2"/>
        <v>0</v>
      </c>
      <c r="V6" s="90">
        <f t="shared" si="2"/>
        <v>0</v>
      </c>
      <c r="W6" s="90">
        <f t="shared" si="2"/>
        <v>0</v>
      </c>
      <c r="X6" s="90">
        <f t="shared" si="2"/>
        <v>0</v>
      </c>
      <c r="Y6" s="90">
        <f t="shared" si="2"/>
        <v>0</v>
      </c>
      <c r="Z6" s="90">
        <f t="shared" si="2"/>
        <v>0</v>
      </c>
      <c r="AA6" s="90">
        <f t="shared" si="2"/>
        <v>0</v>
      </c>
      <c r="AB6" s="90">
        <f t="shared" si="2"/>
        <v>0</v>
      </c>
      <c r="AC6" s="90">
        <f t="shared" si="2"/>
        <v>0</v>
      </c>
      <c r="AD6" s="90">
        <f t="shared" si="2"/>
        <v>0</v>
      </c>
      <c r="AE6" s="90">
        <f t="shared" si="2"/>
        <v>0</v>
      </c>
      <c r="AF6" s="90">
        <f t="shared" si="2"/>
        <v>0</v>
      </c>
      <c r="AG6" s="90">
        <f t="shared" si="2"/>
        <v>0</v>
      </c>
      <c r="AH6" s="90">
        <f t="shared" ref="AH6:AL6" si="3">AH9+AH27/10^6</f>
        <v>0</v>
      </c>
      <c r="AI6" s="90">
        <f t="shared" si="3"/>
        <v>0</v>
      </c>
      <c r="AJ6" s="90">
        <f t="shared" si="3"/>
        <v>0</v>
      </c>
      <c r="AK6" s="90">
        <f t="shared" si="3"/>
        <v>0</v>
      </c>
      <c r="AL6" s="90">
        <f t="shared" si="3"/>
        <v>0</v>
      </c>
    </row>
    <row r="7" spans="1:52" customFormat="1" ht="14">
      <c r="A7" s="91"/>
      <c r="B7" s="92" t="s">
        <v>190</v>
      </c>
      <c r="C7" s="93">
        <f>C10+C31/10^6</f>
        <v>3.1492918249100086E-3</v>
      </c>
      <c r="D7" s="93">
        <f t="shared" ref="D7:AG7" si="4">D10+D31/10^6</f>
        <v>3.5098977590600098E-3</v>
      </c>
      <c r="E7" s="93">
        <f t="shared" si="4"/>
        <v>3.3993119392540091E-3</v>
      </c>
      <c r="F7" s="93">
        <f t="shared" si="4"/>
        <v>3.5377846179676094E-3</v>
      </c>
      <c r="G7" s="93">
        <f t="shared" si="4"/>
        <v>3.6060593415000093E-3</v>
      </c>
      <c r="H7" s="93">
        <f t="shared" si="4"/>
        <v>1.7091519258929544E-3</v>
      </c>
      <c r="I7" s="93">
        <f t="shared" si="4"/>
        <v>1.6107065058700042E-3</v>
      </c>
      <c r="J7" s="93">
        <f t="shared" si="4"/>
        <v>0</v>
      </c>
      <c r="K7" s="93">
        <f t="shared" si="4"/>
        <v>1.598686308065004E-3</v>
      </c>
      <c r="L7" s="93">
        <f t="shared" si="4"/>
        <v>3.2490594666915091E-3</v>
      </c>
      <c r="M7" s="93">
        <f t="shared" si="4"/>
        <v>1.8152902725111048E-3</v>
      </c>
      <c r="N7" s="93">
        <f t="shared" si="4"/>
        <v>9.1745635225943319E-4</v>
      </c>
      <c r="O7" s="93">
        <f t="shared" si="4"/>
        <v>0</v>
      </c>
      <c r="P7" s="93">
        <f t="shared" si="4"/>
        <v>0</v>
      </c>
      <c r="Q7" s="93">
        <f t="shared" si="4"/>
        <v>0</v>
      </c>
      <c r="R7" s="93">
        <f t="shared" si="4"/>
        <v>0</v>
      </c>
      <c r="S7" s="93">
        <f t="shared" si="4"/>
        <v>0</v>
      </c>
      <c r="T7" s="93">
        <f t="shared" si="4"/>
        <v>0</v>
      </c>
      <c r="U7" s="93">
        <f t="shared" si="4"/>
        <v>0</v>
      </c>
      <c r="V7" s="93">
        <f t="shared" si="4"/>
        <v>0</v>
      </c>
      <c r="W7" s="93">
        <f t="shared" si="4"/>
        <v>0</v>
      </c>
      <c r="X7" s="93">
        <f t="shared" si="4"/>
        <v>0</v>
      </c>
      <c r="Y7" s="93">
        <f t="shared" si="4"/>
        <v>0</v>
      </c>
      <c r="Z7" s="93">
        <f t="shared" si="4"/>
        <v>0</v>
      </c>
      <c r="AA7" s="93">
        <f t="shared" si="4"/>
        <v>0</v>
      </c>
      <c r="AB7" s="93">
        <f t="shared" si="4"/>
        <v>0</v>
      </c>
      <c r="AC7" s="93">
        <f t="shared" si="4"/>
        <v>0</v>
      </c>
      <c r="AD7" s="93">
        <f t="shared" si="4"/>
        <v>0</v>
      </c>
      <c r="AE7" s="93">
        <f t="shared" si="4"/>
        <v>0</v>
      </c>
      <c r="AF7" s="93">
        <f t="shared" si="4"/>
        <v>0</v>
      </c>
      <c r="AG7" s="93">
        <f t="shared" si="4"/>
        <v>0</v>
      </c>
      <c r="AH7" s="93">
        <f t="shared" ref="AH7:AL7" si="5">AH10+AH31/10^6</f>
        <v>0</v>
      </c>
      <c r="AI7" s="93">
        <f t="shared" si="5"/>
        <v>0</v>
      </c>
      <c r="AJ7" s="93">
        <f t="shared" si="5"/>
        <v>0</v>
      </c>
      <c r="AK7" s="93">
        <f t="shared" si="5"/>
        <v>0</v>
      </c>
      <c r="AL7" s="93">
        <f t="shared" si="5"/>
        <v>0</v>
      </c>
    </row>
    <row r="8" spans="1:52" customFormat="1" ht="14">
      <c r="A8" s="331"/>
      <c r="B8" s="347" t="s">
        <v>143</v>
      </c>
      <c r="C8" s="364"/>
      <c r="D8" s="364"/>
      <c r="E8" s="364"/>
      <c r="F8" s="364"/>
      <c r="G8" s="364"/>
      <c r="H8" s="364"/>
      <c r="I8" s="364"/>
      <c r="J8" s="364"/>
      <c r="K8" s="364"/>
      <c r="L8" s="364"/>
      <c r="M8" s="364"/>
      <c r="N8" s="364"/>
      <c r="O8" s="364"/>
      <c r="P8" s="364"/>
      <c r="Q8" s="364"/>
      <c r="R8" s="364"/>
      <c r="S8" s="364"/>
      <c r="T8" s="364"/>
      <c r="U8" s="364"/>
      <c r="V8" s="364"/>
      <c r="W8" s="364"/>
      <c r="X8" s="364"/>
      <c r="Y8" s="364"/>
      <c r="Z8" s="364"/>
      <c r="AA8" s="364"/>
      <c r="AB8" s="364"/>
      <c r="AC8" s="364"/>
      <c r="AD8" s="364"/>
      <c r="AE8" s="364"/>
      <c r="AF8" s="364"/>
      <c r="AG8" s="364"/>
      <c r="AH8" s="364"/>
      <c r="AI8" s="364"/>
      <c r="AJ8" s="364"/>
      <c r="AK8" s="364"/>
      <c r="AL8" s="364"/>
    </row>
    <row r="9" spans="1:52" customFormat="1" ht="14">
      <c r="A9" s="331"/>
      <c r="B9" s="331" t="s">
        <v>132</v>
      </c>
      <c r="C9" s="364"/>
      <c r="D9" s="364"/>
      <c r="E9" s="364"/>
      <c r="F9" s="364"/>
      <c r="G9" s="364"/>
      <c r="H9" s="364"/>
      <c r="I9" s="364"/>
      <c r="J9" s="364"/>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row>
    <row r="10" spans="1:52" customFormat="1" ht="14.5" thickBot="1">
      <c r="A10" s="331"/>
      <c r="B10" s="120" t="s">
        <v>133</v>
      </c>
      <c r="C10" s="365"/>
      <c r="D10" s="365"/>
      <c r="E10" s="365"/>
      <c r="F10" s="365"/>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row>
    <row r="11" spans="1:52" customFormat="1" ht="14.5" thickBot="1">
      <c r="A11" s="281"/>
      <c r="B11" s="336" t="s">
        <v>191</v>
      </c>
      <c r="C11" s="337">
        <f>SUM(C5:C7)</f>
        <v>10.239206101562777</v>
      </c>
      <c r="D11" s="337">
        <f t="shared" ref="D11:AG11" si="6">SUM(D5:D7)</f>
        <v>10.454589835499791</v>
      </c>
      <c r="E11" s="337">
        <f t="shared" si="6"/>
        <v>10.799894288310171</v>
      </c>
      <c r="F11" s="337">
        <f t="shared" si="6"/>
        <v>11.10574517266442</v>
      </c>
      <c r="G11" s="337">
        <f t="shared" si="6"/>
        <v>11.309314024613894</v>
      </c>
      <c r="H11" s="337">
        <f t="shared" si="6"/>
        <v>11.542941597360128</v>
      </c>
      <c r="I11" s="337">
        <f t="shared" si="6"/>
        <v>11.676488773168824</v>
      </c>
      <c r="J11" s="337">
        <f t="shared" si="6"/>
        <v>11.371495676686024</v>
      </c>
      <c r="K11" s="337">
        <f t="shared" si="6"/>
        <v>10.335700167377995</v>
      </c>
      <c r="L11" s="337">
        <f t="shared" si="6"/>
        <v>10.066346477819097</v>
      </c>
      <c r="M11" s="337">
        <f t="shared" si="6"/>
        <v>9.0379514871242161</v>
      </c>
      <c r="N11" s="337">
        <f t="shared" si="6"/>
        <v>3.2199938382052831</v>
      </c>
      <c r="O11" s="337">
        <f t="shared" si="6"/>
        <v>5.4580927198451636</v>
      </c>
      <c r="P11" s="337">
        <f t="shared" si="6"/>
        <v>7.8493182708030371</v>
      </c>
      <c r="Q11" s="337">
        <f t="shared" si="6"/>
        <v>8.2301993740487731</v>
      </c>
      <c r="R11" s="337">
        <f t="shared" si="6"/>
        <v>9.5121015767096342</v>
      </c>
      <c r="S11" s="337">
        <f t="shared" si="6"/>
        <v>10.809006236431602</v>
      </c>
      <c r="T11" s="337">
        <f t="shared" si="6"/>
        <v>11.754240735724323</v>
      </c>
      <c r="U11" s="337">
        <f t="shared" si="6"/>
        <v>11.752923681697323</v>
      </c>
      <c r="V11" s="337">
        <f t="shared" si="6"/>
        <v>10.895241129798389</v>
      </c>
      <c r="W11" s="337">
        <f t="shared" si="6"/>
        <v>10.572857574066449</v>
      </c>
      <c r="X11" s="337">
        <f t="shared" si="6"/>
        <v>10.233065441373251</v>
      </c>
      <c r="Y11" s="337">
        <f t="shared" si="6"/>
        <v>8.6471991314852943</v>
      </c>
      <c r="Z11" s="337">
        <f t="shared" si="6"/>
        <v>7.8235794135058496</v>
      </c>
      <c r="AA11" s="337">
        <f t="shared" si="6"/>
        <v>7.8266013548536053</v>
      </c>
      <c r="AB11" s="337">
        <f t="shared" si="6"/>
        <v>7.7268475586059999</v>
      </c>
      <c r="AC11" s="337">
        <f t="shared" si="6"/>
        <v>7.9418372686387126</v>
      </c>
      <c r="AD11" s="337">
        <f t="shared" si="6"/>
        <v>8.5783824107441013</v>
      </c>
      <c r="AE11" s="337">
        <f t="shared" si="6"/>
        <v>8.0924761488891281</v>
      </c>
      <c r="AF11" s="337">
        <f t="shared" si="6"/>
        <v>6.6280013006348639</v>
      </c>
      <c r="AG11" s="337">
        <f t="shared" si="6"/>
        <v>5.5900148134842613</v>
      </c>
      <c r="AH11" s="337">
        <f t="shared" ref="AH11:AL11" si="7">SUM(AH5:AH7)</f>
        <v>0</v>
      </c>
      <c r="AI11" s="337">
        <f t="shared" si="7"/>
        <v>0</v>
      </c>
      <c r="AJ11" s="337">
        <f t="shared" si="7"/>
        <v>0</v>
      </c>
      <c r="AK11" s="337">
        <f t="shared" si="7"/>
        <v>0</v>
      </c>
      <c r="AL11" s="337">
        <f t="shared" si="7"/>
        <v>0</v>
      </c>
    </row>
    <row r="12" spans="1:52" customFormat="1" ht="14">
      <c r="A12" s="281"/>
      <c r="B12" s="94"/>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row>
    <row r="13" spans="1:52" ht="16.5">
      <c r="B13" s="84" t="s">
        <v>192</v>
      </c>
    </row>
    <row r="14" spans="1:52" s="85" customFormat="1" ht="13">
      <c r="A14" s="281"/>
      <c r="B14" s="95"/>
      <c r="C14" s="95">
        <v>1990</v>
      </c>
      <c r="D14" s="95">
        <v>1991</v>
      </c>
      <c r="E14" s="95">
        <v>1992</v>
      </c>
      <c r="F14" s="95">
        <v>1993</v>
      </c>
      <c r="G14" s="95">
        <v>1994</v>
      </c>
      <c r="H14" s="95">
        <v>1995</v>
      </c>
      <c r="I14" s="95">
        <v>1996</v>
      </c>
      <c r="J14" s="95">
        <v>1997</v>
      </c>
      <c r="K14" s="95">
        <v>1998</v>
      </c>
      <c r="L14" s="95">
        <v>1999</v>
      </c>
      <c r="M14" s="95">
        <v>2000</v>
      </c>
      <c r="N14" s="95">
        <v>2001</v>
      </c>
      <c r="O14" s="95">
        <v>2002</v>
      </c>
      <c r="P14" s="95">
        <v>2003</v>
      </c>
      <c r="Q14" s="95">
        <v>2004</v>
      </c>
      <c r="R14" s="95">
        <v>2005</v>
      </c>
      <c r="S14" s="95">
        <v>2006</v>
      </c>
      <c r="T14" s="95">
        <v>2007</v>
      </c>
      <c r="U14" s="95">
        <v>2008</v>
      </c>
      <c r="V14" s="95">
        <v>2009</v>
      </c>
      <c r="W14" s="95">
        <v>2010</v>
      </c>
      <c r="X14" s="95">
        <v>2011</v>
      </c>
      <c r="Y14" s="95">
        <v>2012</v>
      </c>
      <c r="Z14" s="95">
        <v>2013</v>
      </c>
      <c r="AA14" s="95">
        <v>2014</v>
      </c>
      <c r="AB14" s="95">
        <v>2015</v>
      </c>
      <c r="AC14" s="95">
        <v>2016</v>
      </c>
      <c r="AD14" s="95">
        <v>2017</v>
      </c>
      <c r="AE14" s="95">
        <v>2018</v>
      </c>
      <c r="AF14" s="95">
        <v>2019</v>
      </c>
      <c r="AG14" s="95">
        <v>2020</v>
      </c>
      <c r="AH14" s="95">
        <v>2021</v>
      </c>
      <c r="AI14" s="95">
        <v>2022</v>
      </c>
      <c r="AJ14" s="95">
        <v>2023</v>
      </c>
      <c r="AK14" s="95">
        <v>2024</v>
      </c>
      <c r="AL14" s="95">
        <v>2025</v>
      </c>
    </row>
    <row r="15" spans="1:52" s="85" customFormat="1" ht="13">
      <c r="A15" s="281"/>
      <c r="B15" s="87" t="s">
        <v>193</v>
      </c>
      <c r="C15" s="96">
        <f t="shared" ref="C15:R15" si="8">C16+C17</f>
        <v>12877968.150692988</v>
      </c>
      <c r="D15" s="96">
        <f t="shared" si="8"/>
        <v>13212260.691273345</v>
      </c>
      <c r="E15" s="96">
        <f t="shared" si="8"/>
        <v>13568541.635870865</v>
      </c>
      <c r="F15" s="96">
        <f t="shared" si="8"/>
        <v>13893151.306093881</v>
      </c>
      <c r="G15" s="96">
        <f t="shared" si="8"/>
        <v>14147700.696218805</v>
      </c>
      <c r="H15" s="96">
        <f t="shared" si="8"/>
        <v>14418139.976625763</v>
      </c>
      <c r="I15" s="96">
        <f t="shared" si="8"/>
        <v>14565700.759661393</v>
      </c>
      <c r="J15" s="96">
        <f t="shared" si="8"/>
        <v>14703737.577578602</v>
      </c>
      <c r="K15" s="96">
        <f t="shared" si="8"/>
        <v>14798335.438099716</v>
      </c>
      <c r="L15" s="96">
        <f t="shared" si="8"/>
        <v>14875650.746594017</v>
      </c>
      <c r="M15" s="96">
        <f t="shared" si="8"/>
        <v>14998209.165088717</v>
      </c>
      <c r="N15" s="96">
        <f t="shared" si="8"/>
        <v>15156780.135643266</v>
      </c>
      <c r="O15" s="96">
        <f t="shared" si="8"/>
        <v>15298601.978186818</v>
      </c>
      <c r="P15" s="96">
        <f t="shared" si="8"/>
        <v>15423933.567571906</v>
      </c>
      <c r="Q15" s="96">
        <f t="shared" si="8"/>
        <v>16079870.793400502</v>
      </c>
      <c r="R15" s="96">
        <f t="shared" si="8"/>
        <v>17200462.574134793</v>
      </c>
      <c r="S15" s="96">
        <f t="shared" ref="S15:AG15" si="9">S16+S17</f>
        <v>17974663.809572287</v>
      </c>
      <c r="T15" s="96">
        <f t="shared" si="9"/>
        <v>18429098.19505398</v>
      </c>
      <c r="U15" s="96">
        <f t="shared" si="9"/>
        <v>18651387.439386643</v>
      </c>
      <c r="V15" s="96">
        <f t="shared" si="9"/>
        <v>18650634.083752807</v>
      </c>
      <c r="W15" s="96">
        <f t="shared" si="9"/>
        <v>18377519.10574754</v>
      </c>
      <c r="X15" s="96">
        <f t="shared" si="9"/>
        <v>18127830.631819986</v>
      </c>
      <c r="Y15" s="96">
        <f t="shared" si="9"/>
        <v>17889658.263170063</v>
      </c>
      <c r="Z15" s="96">
        <f t="shared" si="9"/>
        <v>17661425.003256898</v>
      </c>
      <c r="AA15" s="96">
        <f t="shared" si="9"/>
        <v>17447355.452788714</v>
      </c>
      <c r="AB15" s="96">
        <f t="shared" si="9"/>
        <v>17247925.901402488</v>
      </c>
      <c r="AC15" s="96">
        <f t="shared" si="9"/>
        <v>17063275.087466389</v>
      </c>
      <c r="AD15" s="96">
        <f t="shared" si="9"/>
        <v>16897118.97144749</v>
      </c>
      <c r="AE15" s="96">
        <f t="shared" si="9"/>
        <v>16738509.586553963</v>
      </c>
      <c r="AF15" s="96">
        <f t="shared" si="9"/>
        <v>16630574.386567893</v>
      </c>
      <c r="AG15" s="96">
        <f t="shared" si="9"/>
        <v>16526871.386308469</v>
      </c>
      <c r="AH15" s="96">
        <f t="shared" ref="AH15:AL15" si="10">AH16+AH17</f>
        <v>0</v>
      </c>
      <c r="AI15" s="96">
        <f t="shared" si="10"/>
        <v>0</v>
      </c>
      <c r="AJ15" s="96">
        <f t="shared" si="10"/>
        <v>0</v>
      </c>
      <c r="AK15" s="96">
        <f t="shared" si="10"/>
        <v>0</v>
      </c>
      <c r="AL15" s="96">
        <f t="shared" si="10"/>
        <v>0</v>
      </c>
    </row>
    <row r="16" spans="1:52" s="85" customFormat="1" ht="13">
      <c r="A16" s="281"/>
      <c r="B16" s="185" t="s">
        <v>194</v>
      </c>
      <c r="C16" s="97">
        <v>12035484.252984101</v>
      </c>
      <c r="D16" s="97">
        <v>12347907.18810593</v>
      </c>
      <c r="E16" s="97">
        <v>12680880.033524172</v>
      </c>
      <c r="F16" s="97">
        <v>12984253.557097085</v>
      </c>
      <c r="G16" s="97">
        <v>13222150.18338206</v>
      </c>
      <c r="H16" s="97">
        <v>13474897.1744166</v>
      </c>
      <c r="I16" s="97">
        <v>13612804.448281676</v>
      </c>
      <c r="J16" s="97">
        <v>13741810.820166918</v>
      </c>
      <c r="K16" s="97">
        <v>13830220.035607211</v>
      </c>
      <c r="L16" s="97">
        <v>13902477.333265437</v>
      </c>
      <c r="M16" s="97">
        <v>14017017.911297867</v>
      </c>
      <c r="N16" s="97">
        <v>14165215.080040436</v>
      </c>
      <c r="O16" s="97">
        <v>14297758.858118521</v>
      </c>
      <c r="P16" s="97">
        <v>14414891.184646642</v>
      </c>
      <c r="Q16" s="97">
        <v>15027916.629346263</v>
      </c>
      <c r="R16" s="97">
        <v>16075198.667415693</v>
      </c>
      <c r="S16" s="97">
        <v>16798751.223899335</v>
      </c>
      <c r="T16" s="97">
        <v>17223456.257059794</v>
      </c>
      <c r="U16" s="97">
        <v>17431203.214380041</v>
      </c>
      <c r="V16" s="97">
        <v>17430499.143694211</v>
      </c>
      <c r="W16" s="97">
        <v>17175251.500698633</v>
      </c>
      <c r="X16" s="97">
        <v>16941897.786747649</v>
      </c>
      <c r="Y16" s="97">
        <v>16719306.788009405</v>
      </c>
      <c r="Z16" s="97">
        <v>16506004.675941028</v>
      </c>
      <c r="AA16" s="97">
        <v>16305939.67550347</v>
      </c>
      <c r="AB16" s="97">
        <v>16119556.917198587</v>
      </c>
      <c r="AC16" s="97">
        <v>15946986.063052699</v>
      </c>
      <c r="AD16" s="97">
        <v>15791699.97331541</v>
      </c>
      <c r="AE16" s="97">
        <v>15643466.90332146</v>
      </c>
      <c r="AF16" s="97">
        <v>15542592.88464289</v>
      </c>
      <c r="AG16" s="97">
        <v>15445674.192811653</v>
      </c>
      <c r="AH16" s="97">
        <v>0</v>
      </c>
      <c r="AI16" s="97">
        <v>0</v>
      </c>
      <c r="AJ16" s="97">
        <v>0</v>
      </c>
      <c r="AK16" s="97">
        <v>0</v>
      </c>
      <c r="AL16" s="97">
        <v>0</v>
      </c>
    </row>
    <row r="17" spans="2:38" s="85" customFormat="1" ht="13">
      <c r="B17" s="185" t="s">
        <v>195</v>
      </c>
      <c r="C17" s="97">
        <v>842483.89770888723</v>
      </c>
      <c r="D17" s="97">
        <v>864353.50316741504</v>
      </c>
      <c r="E17" s="97">
        <v>887661.60234669223</v>
      </c>
      <c r="F17" s="97">
        <v>908897.74899679597</v>
      </c>
      <c r="G17" s="97">
        <v>925550.51283674431</v>
      </c>
      <c r="H17" s="97">
        <v>943242.80220916215</v>
      </c>
      <c r="I17" s="97">
        <v>952896.31137971743</v>
      </c>
      <c r="J17" s="97">
        <v>961926.75741168438</v>
      </c>
      <c r="K17" s="97">
        <v>968115.4024925048</v>
      </c>
      <c r="L17" s="97">
        <v>973173.41332858056</v>
      </c>
      <c r="M17" s="97">
        <v>981191.25379085075</v>
      </c>
      <c r="N17" s="97">
        <v>991565.05560283072</v>
      </c>
      <c r="O17" s="97">
        <v>1000843.1200682966</v>
      </c>
      <c r="P17" s="97">
        <v>1009042.382925265</v>
      </c>
      <c r="Q17" s="97">
        <v>1051954.1640542385</v>
      </c>
      <c r="R17" s="97">
        <v>1125263.9067190988</v>
      </c>
      <c r="S17" s="97">
        <v>1175912.5856729536</v>
      </c>
      <c r="T17" s="97">
        <v>1205641.9379941856</v>
      </c>
      <c r="U17" s="97">
        <v>1220184.2250066029</v>
      </c>
      <c r="V17" s="97">
        <v>1220134.9400585948</v>
      </c>
      <c r="W17" s="97">
        <v>1202267.6050489044</v>
      </c>
      <c r="X17" s="97">
        <v>1185932.8450723356</v>
      </c>
      <c r="Y17" s="97">
        <v>1170351.4751606586</v>
      </c>
      <c r="Z17" s="97">
        <v>1155420.3273158721</v>
      </c>
      <c r="AA17" s="97">
        <v>1141415.7772852429</v>
      </c>
      <c r="AB17" s="97">
        <v>1128368.9842039011</v>
      </c>
      <c r="AC17" s="97">
        <v>1116289.024413689</v>
      </c>
      <c r="AD17" s="97">
        <v>1105418.9981320789</v>
      </c>
      <c r="AE17" s="97">
        <v>1095042.6832325023</v>
      </c>
      <c r="AF17" s="97">
        <v>1087981.5019250026</v>
      </c>
      <c r="AG17" s="97">
        <v>1081197.1934968159</v>
      </c>
      <c r="AH17" s="97">
        <v>0</v>
      </c>
      <c r="AI17" s="97">
        <v>0</v>
      </c>
      <c r="AJ17" s="97">
        <v>0</v>
      </c>
      <c r="AK17" s="97">
        <v>0</v>
      </c>
      <c r="AL17" s="97">
        <v>0</v>
      </c>
    </row>
    <row r="18" spans="2:38" s="85" customFormat="1" ht="13">
      <c r="B18" s="87" t="s">
        <v>196</v>
      </c>
      <c r="C18" s="98">
        <v>-1612937.4943937263</v>
      </c>
      <c r="D18" s="98">
        <v>-1734381.2223474737</v>
      </c>
      <c r="E18" s="98">
        <v>-1700212.1913524715</v>
      </c>
      <c r="F18" s="98">
        <v>-1700212.1913524715</v>
      </c>
      <c r="G18" s="98">
        <v>-1730573.1233409087</v>
      </c>
      <c r="H18" s="98">
        <v>-1663862.3812608002</v>
      </c>
      <c r="I18" s="98">
        <v>-1663862.3812608002</v>
      </c>
      <c r="J18" s="98">
        <v>-2068742.3812608002</v>
      </c>
      <c r="K18" s="98">
        <v>-3388753.2535807998</v>
      </c>
      <c r="L18" s="98">
        <v>-3848719.3156608008</v>
      </c>
      <c r="M18" s="98">
        <v>-5048127.3156607999</v>
      </c>
      <c r="N18" s="98">
        <v>-11627096.201149182</v>
      </c>
      <c r="O18" s="98">
        <v>-9234054.5116921924</v>
      </c>
      <c r="P18" s="98">
        <v>-6702468.8222351996</v>
      </c>
      <c r="Q18" s="98">
        <v>-6935204.8222351996</v>
      </c>
      <c r="R18" s="98">
        <v>-6631460.8222351996</v>
      </c>
      <c r="S18" s="98">
        <v>-5964656.8802038394</v>
      </c>
      <c r="T18" s="98">
        <v>-5368830.7109158402</v>
      </c>
      <c r="U18" s="98">
        <v>-5592583.34861184</v>
      </c>
      <c r="V18" s="98">
        <v>-6544810.606199041</v>
      </c>
      <c r="W18" s="98">
        <v>-6629899.5790070398</v>
      </c>
      <c r="X18" s="98">
        <v>-6757757.91918304</v>
      </c>
      <c r="Y18" s="98">
        <v>-8281659.2281864015</v>
      </c>
      <c r="Z18" s="98">
        <v>-8968558.988250399</v>
      </c>
      <c r="AA18" s="98">
        <v>-8751131.7251735982</v>
      </c>
      <c r="AB18" s="98">
        <v>-8662539.7251736</v>
      </c>
      <c r="AC18" s="98">
        <v>-8239011.4556455994</v>
      </c>
      <c r="AD18" s="98">
        <v>-7365582.9595096</v>
      </c>
      <c r="AE18" s="98">
        <v>-7746869.4211216001</v>
      </c>
      <c r="AF18" s="98">
        <v>-9266128.4969736002</v>
      </c>
      <c r="AG18" s="98">
        <v>-10315743.815770401</v>
      </c>
      <c r="AH18" s="98">
        <v>0</v>
      </c>
      <c r="AI18" s="98">
        <v>0</v>
      </c>
      <c r="AJ18" s="98">
        <v>0</v>
      </c>
      <c r="AK18" s="98">
        <v>0</v>
      </c>
      <c r="AL18" s="98">
        <v>0</v>
      </c>
    </row>
    <row r="19" spans="2:38" s="85" customFormat="1" ht="13">
      <c r="B19" s="185" t="s">
        <v>197</v>
      </c>
      <c r="C19" s="97">
        <v>0</v>
      </c>
      <c r="D19" s="97">
        <v>0</v>
      </c>
      <c r="E19" s="97">
        <v>0</v>
      </c>
      <c r="F19" s="97">
        <v>0</v>
      </c>
      <c r="G19" s="97">
        <v>0</v>
      </c>
      <c r="H19" s="97">
        <v>-278198.38126080006</v>
      </c>
      <c r="I19" s="97">
        <v>-278198.38126080006</v>
      </c>
      <c r="J19" s="97">
        <v>-278198.38126080006</v>
      </c>
      <c r="K19" s="97">
        <v>-449537.25358079997</v>
      </c>
      <c r="L19" s="97">
        <v>-557935.31566079997</v>
      </c>
      <c r="M19" s="97">
        <v>-557935.31566079997</v>
      </c>
      <c r="N19" s="97">
        <v>-5709912.2011491843</v>
      </c>
      <c r="O19" s="97">
        <v>-3114486.5116921924</v>
      </c>
      <c r="P19" s="97">
        <v>-519060.82223520003</v>
      </c>
      <c r="Q19" s="97">
        <v>-519060.82223520003</v>
      </c>
      <c r="R19" s="97">
        <v>-519060.82223520003</v>
      </c>
      <c r="S19" s="97">
        <v>-564240.88020383997</v>
      </c>
      <c r="T19" s="97">
        <v>-651502.71091583988</v>
      </c>
      <c r="U19" s="97">
        <v>-369127.34861183999</v>
      </c>
      <c r="V19" s="97">
        <v>-1544122.6061990401</v>
      </c>
      <c r="W19" s="97">
        <v>-1888267.57900704</v>
      </c>
      <c r="X19" s="97">
        <v>-1909837.91918304</v>
      </c>
      <c r="Y19" s="97">
        <v>-3331931.2281864001</v>
      </c>
      <c r="Z19" s="97">
        <v>-3339774.9882503999</v>
      </c>
      <c r="AA19" s="97">
        <v>-3207803.7251735996</v>
      </c>
      <c r="AB19" s="97">
        <v>-3207803.7251735996</v>
      </c>
      <c r="AC19" s="97">
        <v>-3265651.4556455994</v>
      </c>
      <c r="AD19" s="97">
        <v>-2513630.9595096</v>
      </c>
      <c r="AE19" s="97">
        <v>-3323989.4211215996</v>
      </c>
      <c r="AF19" s="97">
        <v>-5879584.4969736002</v>
      </c>
      <c r="AG19" s="97">
        <v>-6712591.8157703998</v>
      </c>
      <c r="AH19" s="97">
        <v>0</v>
      </c>
      <c r="AI19" s="97">
        <v>0</v>
      </c>
      <c r="AJ19" s="97">
        <v>0</v>
      </c>
      <c r="AK19" s="97">
        <v>0</v>
      </c>
      <c r="AL19" s="97">
        <v>0</v>
      </c>
    </row>
    <row r="20" spans="2:38" s="85" customFormat="1" ht="13">
      <c r="B20" s="186" t="s">
        <v>198</v>
      </c>
      <c r="C20" s="99">
        <v>-1612937.4943937263</v>
      </c>
      <c r="D20" s="99">
        <v>-1734381.2223474737</v>
      </c>
      <c r="E20" s="99">
        <v>-1700212.1913524715</v>
      </c>
      <c r="F20" s="99">
        <v>-1700212.1913524715</v>
      </c>
      <c r="G20" s="99">
        <v>-1730573.1233409087</v>
      </c>
      <c r="H20" s="99">
        <v>-1385664.0000000002</v>
      </c>
      <c r="I20" s="99">
        <v>-1385664.0000000002</v>
      </c>
      <c r="J20" s="99">
        <v>-1790544.0000000002</v>
      </c>
      <c r="K20" s="99">
        <v>-2939216</v>
      </c>
      <c r="L20" s="99">
        <v>-3290784.0000000005</v>
      </c>
      <c r="M20" s="99">
        <v>-4490192</v>
      </c>
      <c r="N20" s="99">
        <v>-5917184</v>
      </c>
      <c r="O20" s="99">
        <v>-6119568</v>
      </c>
      <c r="P20" s="99">
        <v>-6183408</v>
      </c>
      <c r="Q20" s="99">
        <v>-6416144</v>
      </c>
      <c r="R20" s="99">
        <v>-6112400</v>
      </c>
      <c r="S20" s="99">
        <v>-5400416</v>
      </c>
      <c r="T20" s="99">
        <v>-4717328</v>
      </c>
      <c r="U20" s="99">
        <v>-5223456</v>
      </c>
      <c r="V20" s="99">
        <v>-5000688</v>
      </c>
      <c r="W20" s="99">
        <v>-4741632</v>
      </c>
      <c r="X20" s="99">
        <v>-4847920</v>
      </c>
      <c r="Y20" s="99">
        <v>-4949728.0000000009</v>
      </c>
      <c r="Z20" s="99">
        <v>-5628783.9999999991</v>
      </c>
      <c r="AA20" s="99">
        <v>-5543327.9999999991</v>
      </c>
      <c r="AB20" s="99">
        <v>-5454736</v>
      </c>
      <c r="AC20" s="99">
        <v>-4973360</v>
      </c>
      <c r="AD20" s="99">
        <v>-4851952</v>
      </c>
      <c r="AE20" s="99">
        <v>-4422880</v>
      </c>
      <c r="AF20" s="99">
        <v>-3386544</v>
      </c>
      <c r="AG20" s="99">
        <v>-3603152.0000000005</v>
      </c>
      <c r="AH20" s="99">
        <v>0</v>
      </c>
      <c r="AI20" s="99">
        <v>0</v>
      </c>
      <c r="AJ20" s="99">
        <v>0</v>
      </c>
      <c r="AK20" s="99">
        <v>0</v>
      </c>
      <c r="AL20" s="99">
        <v>0</v>
      </c>
    </row>
    <row r="21" spans="2:38" s="85" customFormat="1" ht="13">
      <c r="B21" s="100" t="s">
        <v>199</v>
      </c>
      <c r="C21" s="101">
        <v>1042254.6758590372</v>
      </c>
      <c r="D21" s="101">
        <v>1061352.5965758453</v>
      </c>
      <c r="E21" s="101">
        <v>1098066.7842171697</v>
      </c>
      <c r="F21" s="101">
        <v>1128404.1365744611</v>
      </c>
      <c r="G21" s="101">
        <v>1149157.7060041151</v>
      </c>
      <c r="H21" s="101">
        <v>1181103.4793155799</v>
      </c>
      <c r="I21" s="101">
        <v>1194894.2067020871</v>
      </c>
      <c r="J21" s="101">
        <v>1167306.8438906115</v>
      </c>
      <c r="K21" s="101">
        <v>1044146.678202641</v>
      </c>
      <c r="L21" s="101">
        <v>1005375.8017604634</v>
      </c>
      <c r="M21" s="101">
        <v>896889.05956370663</v>
      </c>
      <c r="N21" s="101">
        <v>253811.88788912533</v>
      </c>
      <c r="O21" s="101">
        <v>506370.43464263272</v>
      </c>
      <c r="P21" s="101">
        <v>771242.23624114401</v>
      </c>
      <c r="Q21" s="101">
        <v>809271.18071110616</v>
      </c>
      <c r="R21" s="101">
        <v>944373.7845180491</v>
      </c>
      <c r="S21" s="101">
        <v>1083409.4343695494</v>
      </c>
      <c r="T21" s="101">
        <v>1185462.5546143949</v>
      </c>
      <c r="U21" s="101">
        <v>1183861.9865768198</v>
      </c>
      <c r="V21" s="101">
        <v>1088568.8537495167</v>
      </c>
      <c r="W21" s="101">
        <v>1054535.192169159</v>
      </c>
      <c r="X21" s="101">
        <v>1018413.9867564607</v>
      </c>
      <c r="Y21" s="101">
        <v>843764.75598230003</v>
      </c>
      <c r="Z21" s="101">
        <v>753744.56876906275</v>
      </c>
      <c r="AA21" s="101">
        <v>755480.79503298702</v>
      </c>
      <c r="AB21" s="101">
        <v>745701.71920249856</v>
      </c>
      <c r="AC21" s="101">
        <v>770797.46074070979</v>
      </c>
      <c r="AD21" s="101">
        <v>842611.7013805809</v>
      </c>
      <c r="AE21" s="101">
        <v>789659.74821998575</v>
      </c>
      <c r="AF21" s="101">
        <v>627646.43876692886</v>
      </c>
      <c r="AG21" s="101">
        <v>512993.0377041251</v>
      </c>
      <c r="AH21" s="101">
        <v>0</v>
      </c>
      <c r="AI21" s="101">
        <v>0</v>
      </c>
      <c r="AJ21" s="101">
        <v>0</v>
      </c>
      <c r="AK21" s="101">
        <v>0</v>
      </c>
      <c r="AL21" s="101">
        <v>0</v>
      </c>
    </row>
    <row r="22" spans="2:38" s="85" customFormat="1" ht="13">
      <c r="B22" s="100" t="s">
        <v>200</v>
      </c>
      <c r="C22" s="102">
        <v>84248.389770888709</v>
      </c>
      <c r="D22" s="102">
        <v>86435.350316741489</v>
      </c>
      <c r="E22" s="102">
        <v>88766.160234669209</v>
      </c>
      <c r="F22" s="102">
        <v>90889.774899679571</v>
      </c>
      <c r="G22" s="102">
        <v>92555.051283674416</v>
      </c>
      <c r="H22" s="102">
        <v>94324.280220916189</v>
      </c>
      <c r="I22" s="102">
        <v>95289.631137971723</v>
      </c>
      <c r="J22" s="102">
        <v>96192.675741168423</v>
      </c>
      <c r="K22" s="102">
        <v>96811.540249250465</v>
      </c>
      <c r="L22" s="102">
        <v>97317.341332858035</v>
      </c>
      <c r="M22" s="102">
        <v>98119.125379085061</v>
      </c>
      <c r="N22" s="102">
        <v>99156.505560283054</v>
      </c>
      <c r="O22" s="102">
        <v>100084.31200682963</v>
      </c>
      <c r="P22" s="102">
        <v>100904.23829252648</v>
      </c>
      <c r="Q22" s="102">
        <v>105195.41640542382</v>
      </c>
      <c r="R22" s="102">
        <v>112526.39067190986</v>
      </c>
      <c r="S22" s="102">
        <v>117591.25856729534</v>
      </c>
      <c r="T22" s="102">
        <v>120564.19379941853</v>
      </c>
      <c r="U22" s="102">
        <v>122018.42250066026</v>
      </c>
      <c r="V22" s="102">
        <v>122013.49400585945</v>
      </c>
      <c r="W22" s="102">
        <v>120226.76050489042</v>
      </c>
      <c r="X22" s="102">
        <v>118593.28450723353</v>
      </c>
      <c r="Y22" s="102">
        <v>117035.14751606583</v>
      </c>
      <c r="Z22" s="102">
        <v>115542.03273158718</v>
      </c>
      <c r="AA22" s="102">
        <v>114141.57772852427</v>
      </c>
      <c r="AB22" s="102">
        <v>112836.89842039009</v>
      </c>
      <c r="AC22" s="102">
        <v>111628.90244136887</v>
      </c>
      <c r="AD22" s="102">
        <v>110541.89981320787</v>
      </c>
      <c r="AE22" s="102">
        <v>109504.2683232502</v>
      </c>
      <c r="AF22" s="102">
        <v>108798.15019250024</v>
      </c>
      <c r="AG22" s="102">
        <v>108119.71934968156</v>
      </c>
      <c r="AH22" s="102">
        <v>0</v>
      </c>
      <c r="AI22" s="102">
        <v>0</v>
      </c>
      <c r="AJ22" s="102">
        <v>0</v>
      </c>
      <c r="AK22" s="102">
        <v>0</v>
      </c>
      <c r="AL22" s="102">
        <v>0</v>
      </c>
    </row>
    <row r="23" spans="2:38" s="85" customFormat="1" ht="13">
      <c r="B23" s="95" t="s">
        <v>201</v>
      </c>
      <c r="C23" s="102">
        <f t="shared" ref="C23:R23" si="11">C15+C18-C21-C22</f>
        <v>10138527.590669336</v>
      </c>
      <c r="D23" s="102">
        <f t="shared" si="11"/>
        <v>10330091.522033285</v>
      </c>
      <c r="E23" s="102">
        <f t="shared" si="11"/>
        <v>10681496.500066554</v>
      </c>
      <c r="F23" s="102">
        <f t="shared" si="11"/>
        <v>10973645.203267269</v>
      </c>
      <c r="G23" s="102">
        <f t="shared" si="11"/>
        <v>11175414.815590108</v>
      </c>
      <c r="H23" s="102">
        <f t="shared" si="11"/>
        <v>11478849.835828466</v>
      </c>
      <c r="I23" s="102">
        <f t="shared" si="11"/>
        <v>11611654.540560536</v>
      </c>
      <c r="J23" s="102">
        <f t="shared" si="11"/>
        <v>11371495.676686024</v>
      </c>
      <c r="K23" s="102">
        <f t="shared" si="11"/>
        <v>10268623.966067025</v>
      </c>
      <c r="L23" s="102">
        <f t="shared" si="11"/>
        <v>9924238.2878398951</v>
      </c>
      <c r="M23" s="102">
        <f t="shared" si="11"/>
        <v>8955073.664485123</v>
      </c>
      <c r="N23" s="102">
        <f t="shared" si="11"/>
        <v>3176715.5410446753</v>
      </c>
      <c r="O23" s="102">
        <f t="shared" si="11"/>
        <v>5458092.7198451636</v>
      </c>
      <c r="P23" s="102">
        <f t="shared" si="11"/>
        <v>7849318.2708030371</v>
      </c>
      <c r="Q23" s="102">
        <f t="shared" si="11"/>
        <v>8230199.3740487732</v>
      </c>
      <c r="R23" s="102">
        <f t="shared" si="11"/>
        <v>9512101.5767096337</v>
      </c>
      <c r="S23" s="102">
        <f t="shared" ref="S23:AG23" si="12">S15+S18-S21-S22</f>
        <v>10809006.236431602</v>
      </c>
      <c r="T23" s="102">
        <f t="shared" si="12"/>
        <v>11754240.735724324</v>
      </c>
      <c r="U23" s="102">
        <f t="shared" si="12"/>
        <v>11752923.681697324</v>
      </c>
      <c r="V23" s="102">
        <f t="shared" si="12"/>
        <v>10895241.12979839</v>
      </c>
      <c r="W23" s="102">
        <f t="shared" si="12"/>
        <v>10572857.574066449</v>
      </c>
      <c r="X23" s="102">
        <f t="shared" si="12"/>
        <v>10233065.441373251</v>
      </c>
      <c r="Y23" s="102">
        <f t="shared" si="12"/>
        <v>8647199.1314852946</v>
      </c>
      <c r="Z23" s="102">
        <f t="shared" si="12"/>
        <v>7823579.4135058494</v>
      </c>
      <c r="AA23" s="102">
        <f t="shared" si="12"/>
        <v>7826601.3548536049</v>
      </c>
      <c r="AB23" s="102">
        <f t="shared" si="12"/>
        <v>7726847.5586059997</v>
      </c>
      <c r="AC23" s="102">
        <f t="shared" si="12"/>
        <v>7941837.2686387124</v>
      </c>
      <c r="AD23" s="102">
        <f t="shared" si="12"/>
        <v>8578382.4107441008</v>
      </c>
      <c r="AE23" s="102">
        <f t="shared" si="12"/>
        <v>8092476.1488891281</v>
      </c>
      <c r="AF23" s="102">
        <f t="shared" si="12"/>
        <v>6628001.3006348638</v>
      </c>
      <c r="AG23" s="102">
        <f t="shared" si="12"/>
        <v>5590014.8134842617</v>
      </c>
      <c r="AH23" s="102">
        <f t="shared" ref="AH23:AL23" si="13">AH15+AH18-AH21-AH22</f>
        <v>0</v>
      </c>
      <c r="AI23" s="102">
        <f t="shared" si="13"/>
        <v>0</v>
      </c>
      <c r="AJ23" s="102">
        <f t="shared" si="13"/>
        <v>0</v>
      </c>
      <c r="AK23" s="102">
        <f t="shared" si="13"/>
        <v>0</v>
      </c>
      <c r="AL23" s="102">
        <f t="shared" si="13"/>
        <v>0</v>
      </c>
    </row>
    <row r="24" spans="2:38" s="85" customFormat="1" ht="10">
      <c r="B24" s="281"/>
      <c r="C24" s="281"/>
      <c r="D24" s="281"/>
      <c r="E24" s="281"/>
      <c r="F24" s="281"/>
      <c r="G24" s="281"/>
      <c r="H24" s="281"/>
      <c r="I24" s="281"/>
      <c r="J24" s="281"/>
      <c r="K24" s="281"/>
      <c r="L24" s="281"/>
      <c r="M24" s="281"/>
      <c r="N24" s="281"/>
      <c r="O24" s="281"/>
      <c r="P24" s="281"/>
      <c r="Q24" s="281"/>
      <c r="R24" s="281"/>
      <c r="S24" s="281"/>
      <c r="T24" s="281"/>
      <c r="U24" s="281"/>
      <c r="V24" s="281"/>
      <c r="W24" s="281"/>
      <c r="X24" s="281"/>
      <c r="Y24" s="281"/>
      <c r="Z24" s="281"/>
      <c r="AA24" s="281"/>
      <c r="AB24" s="281"/>
      <c r="AC24" s="281"/>
      <c r="AD24" s="281"/>
      <c r="AE24" s="281"/>
      <c r="AF24" s="281"/>
      <c r="AG24" s="281"/>
      <c r="AH24" s="281"/>
      <c r="AI24" s="281"/>
      <c r="AJ24" s="281"/>
      <c r="AK24" s="281"/>
      <c r="AL24" s="281"/>
    </row>
    <row r="25" spans="2:38" s="85" customFormat="1" ht="16.5">
      <c r="B25" s="103" t="s">
        <v>202</v>
      </c>
      <c r="C25" s="104"/>
      <c r="D25" s="104"/>
      <c r="E25" s="104"/>
      <c r="F25" s="104"/>
      <c r="G25" s="104"/>
      <c r="H25" s="104"/>
      <c r="I25" s="104"/>
      <c r="J25" s="104"/>
      <c r="K25" s="104"/>
      <c r="L25" s="104"/>
      <c r="M25" s="281"/>
      <c r="N25" s="104"/>
      <c r="O25" s="281"/>
      <c r="P25" s="104"/>
      <c r="Q25" s="281"/>
      <c r="R25" s="104"/>
      <c r="S25" s="281"/>
      <c r="T25" s="104"/>
      <c r="U25" s="281"/>
      <c r="V25" s="104"/>
      <c r="W25" s="281"/>
      <c r="X25" s="104"/>
      <c r="Y25" s="281"/>
      <c r="Z25" s="104"/>
      <c r="AA25" s="281"/>
      <c r="AB25" s="104"/>
      <c r="AC25" s="281"/>
      <c r="AD25" s="104"/>
      <c r="AE25" s="281"/>
      <c r="AF25" s="104"/>
      <c r="AG25" s="281"/>
      <c r="AH25" s="281"/>
      <c r="AI25" s="281"/>
      <c r="AJ25" s="281"/>
      <c r="AK25" s="281"/>
      <c r="AL25" s="281"/>
    </row>
    <row r="26" spans="2:38" s="85" customFormat="1" ht="13">
      <c r="B26" s="92" t="s">
        <v>203</v>
      </c>
      <c r="C26" s="92">
        <v>1990</v>
      </c>
      <c r="D26" s="92">
        <v>1991</v>
      </c>
      <c r="E26" s="92">
        <v>1992</v>
      </c>
      <c r="F26" s="92">
        <v>1993</v>
      </c>
      <c r="G26" s="92">
        <v>1994</v>
      </c>
      <c r="H26" s="92">
        <v>1995</v>
      </c>
      <c r="I26" s="92">
        <v>1996</v>
      </c>
      <c r="J26" s="92">
        <v>1997</v>
      </c>
      <c r="K26" s="92">
        <v>1998</v>
      </c>
      <c r="L26" s="92">
        <v>1999</v>
      </c>
      <c r="M26" s="92">
        <v>2000</v>
      </c>
      <c r="N26" s="92">
        <v>2001</v>
      </c>
      <c r="O26" s="92">
        <v>2002</v>
      </c>
      <c r="P26" s="92">
        <v>2003</v>
      </c>
      <c r="Q26" s="92">
        <v>2004</v>
      </c>
      <c r="R26" s="92">
        <v>2005</v>
      </c>
      <c r="S26" s="92">
        <v>2006</v>
      </c>
      <c r="T26" s="92">
        <v>2007</v>
      </c>
      <c r="U26" s="92">
        <v>2008</v>
      </c>
      <c r="V26" s="92">
        <v>2009</v>
      </c>
      <c r="W26" s="92">
        <v>2010</v>
      </c>
      <c r="X26" s="92">
        <v>2011</v>
      </c>
      <c r="Y26" s="92">
        <v>2012</v>
      </c>
      <c r="Z26" s="92">
        <v>2013</v>
      </c>
      <c r="AA26" s="92">
        <v>2014</v>
      </c>
      <c r="AB26" s="92">
        <v>2015</v>
      </c>
      <c r="AC26" s="92">
        <v>2016</v>
      </c>
      <c r="AD26" s="92">
        <v>2017</v>
      </c>
      <c r="AE26" s="92">
        <v>2018</v>
      </c>
      <c r="AF26" s="92">
        <v>2019</v>
      </c>
      <c r="AG26" s="92">
        <v>2020</v>
      </c>
      <c r="AH26" s="92">
        <v>2021</v>
      </c>
      <c r="AI26" s="92">
        <v>2022</v>
      </c>
      <c r="AJ26" s="92">
        <v>2023</v>
      </c>
      <c r="AK26" s="92">
        <v>2024</v>
      </c>
      <c r="AL26" s="92">
        <v>2025</v>
      </c>
    </row>
    <row r="27" spans="2:38" s="85" customFormat="1" ht="13">
      <c r="B27" s="89" t="s">
        <v>189</v>
      </c>
      <c r="C27" s="105">
        <f>SUM(C28:C30)</f>
        <v>97396.116923478854</v>
      </c>
      <c r="D27" s="105">
        <f t="shared" ref="D27:L27" si="14">SUM(D28:D30)</f>
        <v>120840.07285876185</v>
      </c>
      <c r="E27" s="105">
        <f t="shared" si="14"/>
        <v>114854.80727145559</v>
      </c>
      <c r="F27" s="105">
        <f t="shared" si="14"/>
        <v>128412.66331608381</v>
      </c>
      <c r="G27" s="105">
        <f t="shared" si="14"/>
        <v>130140.74264596627</v>
      </c>
      <c r="H27" s="105">
        <f t="shared" si="14"/>
        <v>62310.373750787759</v>
      </c>
      <c r="I27" s="105">
        <f t="shared" si="14"/>
        <v>63155.450959526759</v>
      </c>
      <c r="J27" s="105">
        <f t="shared" si="14"/>
        <v>0</v>
      </c>
      <c r="K27" s="105">
        <f t="shared" si="14"/>
        <v>65409.947883470501</v>
      </c>
      <c r="L27" s="105">
        <f t="shared" si="14"/>
        <v>138721.81177278832</v>
      </c>
      <c r="M27" s="105">
        <f t="shared" ref="M27:R27" si="15">SUM(M28:M30)</f>
        <v>80985.810664499586</v>
      </c>
      <c r="N27" s="105">
        <f t="shared" si="15"/>
        <v>42322.065294592205</v>
      </c>
      <c r="O27" s="105">
        <f t="shared" si="15"/>
        <v>0</v>
      </c>
      <c r="P27" s="105">
        <f t="shared" si="15"/>
        <v>0</v>
      </c>
      <c r="Q27" s="105">
        <f t="shared" si="15"/>
        <v>0</v>
      </c>
      <c r="R27" s="105">
        <f t="shared" si="15"/>
        <v>0</v>
      </c>
      <c r="S27" s="105">
        <f t="shared" ref="S27:AG27" si="16">SUM(S28:S30)</f>
        <v>0</v>
      </c>
      <c r="T27" s="105">
        <f t="shared" si="16"/>
        <v>0</v>
      </c>
      <c r="U27" s="105">
        <f t="shared" si="16"/>
        <v>0</v>
      </c>
      <c r="V27" s="105">
        <f t="shared" si="16"/>
        <v>0</v>
      </c>
      <c r="W27" s="105">
        <f t="shared" si="16"/>
        <v>0</v>
      </c>
      <c r="X27" s="105">
        <f t="shared" si="16"/>
        <v>0</v>
      </c>
      <c r="Y27" s="105">
        <f t="shared" si="16"/>
        <v>0</v>
      </c>
      <c r="Z27" s="105">
        <f t="shared" si="16"/>
        <v>0</v>
      </c>
      <c r="AA27" s="105">
        <f t="shared" si="16"/>
        <v>0</v>
      </c>
      <c r="AB27" s="105">
        <f t="shared" si="16"/>
        <v>0</v>
      </c>
      <c r="AC27" s="105">
        <f t="shared" si="16"/>
        <v>0</v>
      </c>
      <c r="AD27" s="105">
        <f t="shared" si="16"/>
        <v>0</v>
      </c>
      <c r="AE27" s="105">
        <f t="shared" si="16"/>
        <v>0</v>
      </c>
      <c r="AF27" s="105">
        <f t="shared" si="16"/>
        <v>0</v>
      </c>
      <c r="AG27" s="105">
        <f t="shared" si="16"/>
        <v>0</v>
      </c>
      <c r="AH27" s="105">
        <f t="shared" ref="AH27:AL27" si="17">SUM(AH28:AH30)</f>
        <v>0</v>
      </c>
      <c r="AI27" s="105">
        <f t="shared" si="17"/>
        <v>0</v>
      </c>
      <c r="AJ27" s="105">
        <f t="shared" si="17"/>
        <v>0</v>
      </c>
      <c r="AK27" s="105">
        <f t="shared" si="17"/>
        <v>0</v>
      </c>
      <c r="AL27" s="105">
        <f t="shared" si="17"/>
        <v>0</v>
      </c>
    </row>
    <row r="28" spans="2:38" s="85" customFormat="1" ht="13">
      <c r="B28" s="106" t="s">
        <v>204</v>
      </c>
      <c r="C28" s="107">
        <v>65786.226921190129</v>
      </c>
      <c r="D28" s="107">
        <v>81226.301220397945</v>
      </c>
      <c r="E28" s="107">
        <v>76743.506132357012</v>
      </c>
      <c r="F28" s="107">
        <v>86064.157621605234</v>
      </c>
      <c r="G28" s="107">
        <v>86215.428859092906</v>
      </c>
      <c r="H28" s="107">
        <v>41549.844671473795</v>
      </c>
      <c r="I28" s="107">
        <v>42119.918822629166</v>
      </c>
      <c r="J28" s="107">
        <v>0</v>
      </c>
      <c r="K28" s="107">
        <v>44152.974849105529</v>
      </c>
      <c r="L28" s="107">
        <v>94978.781537330491</v>
      </c>
      <c r="M28" s="107">
        <v>56567.190395558697</v>
      </c>
      <c r="N28" s="107">
        <v>28669.194608188453</v>
      </c>
      <c r="O28" s="107">
        <v>0</v>
      </c>
      <c r="P28" s="107">
        <v>0</v>
      </c>
      <c r="Q28" s="107">
        <v>0</v>
      </c>
      <c r="R28" s="107">
        <v>0</v>
      </c>
      <c r="S28" s="107">
        <v>0</v>
      </c>
      <c r="T28" s="107">
        <v>0</v>
      </c>
      <c r="U28" s="107">
        <v>0</v>
      </c>
      <c r="V28" s="107">
        <v>0</v>
      </c>
      <c r="W28" s="107">
        <v>0</v>
      </c>
      <c r="X28" s="107">
        <v>0</v>
      </c>
      <c r="Y28" s="107">
        <v>0</v>
      </c>
      <c r="Z28" s="107">
        <v>0</v>
      </c>
      <c r="AA28" s="107">
        <v>0</v>
      </c>
      <c r="AB28" s="107">
        <v>0</v>
      </c>
      <c r="AC28" s="107">
        <v>0</v>
      </c>
      <c r="AD28" s="107">
        <v>0</v>
      </c>
      <c r="AE28" s="107">
        <v>0</v>
      </c>
      <c r="AF28" s="107">
        <v>0</v>
      </c>
      <c r="AG28" s="107">
        <v>0</v>
      </c>
      <c r="AH28" s="107">
        <v>0</v>
      </c>
      <c r="AI28" s="107">
        <v>0</v>
      </c>
      <c r="AJ28" s="107">
        <v>0</v>
      </c>
      <c r="AK28" s="107">
        <v>0</v>
      </c>
      <c r="AL28" s="107">
        <v>0</v>
      </c>
    </row>
    <row r="29" spans="2:38" s="85" customFormat="1" ht="13">
      <c r="B29" s="106" t="s">
        <v>205</v>
      </c>
      <c r="C29" s="107">
        <v>14019.020373043453</v>
      </c>
      <c r="D29" s="107">
        <v>17178.923157285964</v>
      </c>
      <c r="E29" s="107">
        <v>15729.603242728084</v>
      </c>
      <c r="F29" s="107">
        <v>17167.667117290392</v>
      </c>
      <c r="G29" s="107">
        <v>17179.067044607564</v>
      </c>
      <c r="H29" s="107">
        <v>7408.2911386992873</v>
      </c>
      <c r="I29" s="107">
        <v>7406.7965026426609</v>
      </c>
      <c r="J29" s="107">
        <v>0</v>
      </c>
      <c r="K29" s="107">
        <v>7267.3412083299054</v>
      </c>
      <c r="L29" s="107">
        <v>14628.816668907206</v>
      </c>
      <c r="M29" s="107">
        <v>8171.7758919821972</v>
      </c>
      <c r="N29" s="107">
        <v>4649.8127965174735</v>
      </c>
      <c r="O29" s="107">
        <v>0</v>
      </c>
      <c r="P29" s="107">
        <v>0</v>
      </c>
      <c r="Q29" s="107">
        <v>0</v>
      </c>
      <c r="R29" s="107">
        <v>0</v>
      </c>
      <c r="S29" s="107">
        <v>0</v>
      </c>
      <c r="T29" s="107">
        <v>0</v>
      </c>
      <c r="U29" s="107">
        <v>0</v>
      </c>
      <c r="V29" s="107">
        <v>0</v>
      </c>
      <c r="W29" s="107">
        <v>0</v>
      </c>
      <c r="X29" s="107">
        <v>0</v>
      </c>
      <c r="Y29" s="108">
        <v>0</v>
      </c>
      <c r="Z29" s="107">
        <v>0</v>
      </c>
      <c r="AA29" s="108">
        <v>0</v>
      </c>
      <c r="AB29" s="107">
        <v>0</v>
      </c>
      <c r="AC29" s="108">
        <v>0</v>
      </c>
      <c r="AD29" s="107">
        <v>0</v>
      </c>
      <c r="AE29" s="108">
        <v>0</v>
      </c>
      <c r="AF29" s="107">
        <v>0</v>
      </c>
      <c r="AG29" s="108">
        <v>0</v>
      </c>
      <c r="AH29" s="108">
        <v>0</v>
      </c>
      <c r="AI29" s="108">
        <v>0</v>
      </c>
      <c r="AJ29" s="108">
        <v>0</v>
      </c>
      <c r="AK29" s="108">
        <v>0</v>
      </c>
      <c r="AL29" s="108">
        <v>0</v>
      </c>
    </row>
    <row r="30" spans="2:38" s="85" customFormat="1" ht="13">
      <c r="B30" s="106" t="s">
        <v>206</v>
      </c>
      <c r="C30" s="107">
        <v>17590.86962924527</v>
      </c>
      <c r="D30" s="107">
        <v>22434.848481077937</v>
      </c>
      <c r="E30" s="107">
        <v>22381.697896370486</v>
      </c>
      <c r="F30" s="107">
        <v>25180.838577188195</v>
      </c>
      <c r="G30" s="107">
        <v>26746.246742265797</v>
      </c>
      <c r="H30" s="107">
        <v>13352.237940614681</v>
      </c>
      <c r="I30" s="107">
        <v>13628.735634254928</v>
      </c>
      <c r="J30" s="107">
        <v>0</v>
      </c>
      <c r="K30" s="107">
        <v>13989.631826035065</v>
      </c>
      <c r="L30" s="107">
        <v>29114.213566550614</v>
      </c>
      <c r="M30" s="107">
        <v>16246.844376958683</v>
      </c>
      <c r="N30" s="107">
        <v>9003.0578898862768</v>
      </c>
      <c r="O30" s="107">
        <v>0</v>
      </c>
      <c r="P30" s="107">
        <v>0</v>
      </c>
      <c r="Q30" s="107">
        <v>0</v>
      </c>
      <c r="R30" s="107">
        <v>0</v>
      </c>
      <c r="S30" s="107">
        <v>0</v>
      </c>
      <c r="T30" s="107">
        <v>0</v>
      </c>
      <c r="U30" s="107">
        <v>0</v>
      </c>
      <c r="V30" s="107">
        <v>0</v>
      </c>
      <c r="W30" s="107">
        <v>0</v>
      </c>
      <c r="X30" s="107">
        <v>0</v>
      </c>
      <c r="Y30" s="107">
        <v>0</v>
      </c>
      <c r="Z30" s="107">
        <v>0</v>
      </c>
      <c r="AA30" s="107">
        <v>0</v>
      </c>
      <c r="AB30" s="107">
        <v>0</v>
      </c>
      <c r="AC30" s="107">
        <v>0</v>
      </c>
      <c r="AD30" s="107">
        <v>0</v>
      </c>
      <c r="AE30" s="107">
        <v>0</v>
      </c>
      <c r="AF30" s="107">
        <v>0</v>
      </c>
      <c r="AG30" s="107">
        <v>0</v>
      </c>
      <c r="AH30" s="107">
        <v>0</v>
      </c>
      <c r="AI30" s="107">
        <v>0</v>
      </c>
      <c r="AJ30" s="107">
        <v>0</v>
      </c>
      <c r="AK30" s="107">
        <v>0</v>
      </c>
      <c r="AL30" s="107">
        <v>0</v>
      </c>
    </row>
    <row r="31" spans="2:38" s="85" customFormat="1" ht="13">
      <c r="B31" s="89" t="s">
        <v>190</v>
      </c>
      <c r="C31" s="105">
        <v>3149.2918249100085</v>
      </c>
      <c r="D31" s="105">
        <v>3509.8977590600098</v>
      </c>
      <c r="E31" s="105">
        <v>3399.3119392540093</v>
      </c>
      <c r="F31" s="105">
        <v>3537.7846179676094</v>
      </c>
      <c r="G31" s="105">
        <v>3606.0593415000094</v>
      </c>
      <c r="H31" s="105">
        <v>1709.1519258929545</v>
      </c>
      <c r="I31" s="105">
        <v>1610.7065058700043</v>
      </c>
      <c r="J31" s="105">
        <v>0</v>
      </c>
      <c r="K31" s="105">
        <v>1598.6863080650041</v>
      </c>
      <c r="L31" s="105">
        <v>3249.059466691509</v>
      </c>
      <c r="M31" s="105">
        <v>1815.2902725111048</v>
      </c>
      <c r="N31" s="105">
        <v>917.45635225943317</v>
      </c>
      <c r="O31" s="105">
        <v>0</v>
      </c>
      <c r="P31" s="105">
        <v>0</v>
      </c>
      <c r="Q31" s="105">
        <v>0</v>
      </c>
      <c r="R31" s="105">
        <v>0</v>
      </c>
      <c r="S31" s="105">
        <v>0</v>
      </c>
      <c r="T31" s="105">
        <v>0</v>
      </c>
      <c r="U31" s="105">
        <v>0</v>
      </c>
      <c r="V31" s="105">
        <v>0</v>
      </c>
      <c r="W31" s="105">
        <v>0</v>
      </c>
      <c r="X31" s="105">
        <v>0</v>
      </c>
      <c r="Y31" s="105">
        <v>0</v>
      </c>
      <c r="Z31" s="105">
        <v>0</v>
      </c>
      <c r="AA31" s="105">
        <v>0</v>
      </c>
      <c r="AB31" s="105">
        <v>0</v>
      </c>
      <c r="AC31" s="105">
        <v>0</v>
      </c>
      <c r="AD31" s="105">
        <v>0</v>
      </c>
      <c r="AE31" s="105">
        <v>0</v>
      </c>
      <c r="AF31" s="105">
        <v>0</v>
      </c>
      <c r="AG31" s="105">
        <v>0</v>
      </c>
      <c r="AH31" s="105">
        <v>0</v>
      </c>
      <c r="AI31" s="105">
        <v>0</v>
      </c>
      <c r="AJ31" s="105">
        <v>0</v>
      </c>
      <c r="AK31" s="105">
        <v>0</v>
      </c>
      <c r="AL31" s="105">
        <v>0</v>
      </c>
    </row>
    <row r="32" spans="2:38" s="85" customFormat="1" ht="13">
      <c r="B32" s="89" t="s">
        <v>188</v>
      </c>
      <c r="C32" s="105">
        <v>133.10214505280035</v>
      </c>
      <c r="D32" s="105">
        <v>148.3428486848004</v>
      </c>
      <c r="E32" s="105">
        <v>143.6690329043204</v>
      </c>
      <c r="F32" s="105">
        <v>149.5214630990084</v>
      </c>
      <c r="G32" s="105">
        <v>152.40703632000043</v>
      </c>
      <c r="H32" s="105">
        <v>72.2358549811362</v>
      </c>
      <c r="I32" s="105">
        <v>68.075142889600187</v>
      </c>
      <c r="J32" s="105">
        <v>0</v>
      </c>
      <c r="K32" s="105">
        <v>67.567119435200183</v>
      </c>
      <c r="L32" s="105">
        <v>137.31873972432038</v>
      </c>
      <c r="M32" s="105">
        <v>76.721702083488211</v>
      </c>
      <c r="N32" s="105">
        <v>38.775513755870385</v>
      </c>
      <c r="O32" s="105">
        <v>0</v>
      </c>
      <c r="P32" s="105">
        <v>0</v>
      </c>
      <c r="Q32" s="105">
        <v>0</v>
      </c>
      <c r="R32" s="105">
        <v>0</v>
      </c>
      <c r="S32" s="105">
        <v>0</v>
      </c>
      <c r="T32" s="105">
        <v>0</v>
      </c>
      <c r="U32" s="105">
        <v>0</v>
      </c>
      <c r="V32" s="105">
        <v>0</v>
      </c>
      <c r="W32" s="105">
        <v>0</v>
      </c>
      <c r="X32" s="105">
        <v>0</v>
      </c>
      <c r="Y32" s="105">
        <v>0</v>
      </c>
      <c r="Z32" s="105">
        <v>0</v>
      </c>
      <c r="AA32" s="105">
        <v>0</v>
      </c>
      <c r="AB32" s="105">
        <v>0</v>
      </c>
      <c r="AC32" s="105">
        <v>0</v>
      </c>
      <c r="AD32" s="105">
        <v>0</v>
      </c>
      <c r="AE32" s="105">
        <v>0</v>
      </c>
      <c r="AF32" s="105">
        <v>0</v>
      </c>
      <c r="AG32" s="105">
        <v>0</v>
      </c>
      <c r="AH32" s="105">
        <v>0</v>
      </c>
      <c r="AI32" s="105">
        <v>0</v>
      </c>
      <c r="AJ32" s="105">
        <v>0</v>
      </c>
      <c r="AK32" s="105">
        <v>0</v>
      </c>
      <c r="AL32" s="105">
        <v>0</v>
      </c>
    </row>
    <row r="33" spans="2:38" s="85" customFormat="1" ht="13">
      <c r="B33" s="109" t="s">
        <v>207</v>
      </c>
      <c r="C33" s="110">
        <f>C27+C31+C32</f>
        <v>100678.51089344166</v>
      </c>
      <c r="D33" s="110">
        <f t="shared" ref="D33:AG33" si="18">D27+D31+D32</f>
        <v>124498.31346650666</v>
      </c>
      <c r="E33" s="110">
        <f t="shared" si="18"/>
        <v>118397.78824361392</v>
      </c>
      <c r="F33" s="110">
        <f t="shared" si="18"/>
        <v>132099.96939715042</v>
      </c>
      <c r="G33" s="110">
        <f t="shared" si="18"/>
        <v>133899.20902378627</v>
      </c>
      <c r="H33" s="110">
        <f t="shared" si="18"/>
        <v>64091.761531661854</v>
      </c>
      <c r="I33" s="110">
        <f t="shared" si="18"/>
        <v>64834.232608286366</v>
      </c>
      <c r="J33" s="110">
        <f t="shared" si="18"/>
        <v>0</v>
      </c>
      <c r="K33" s="110">
        <f t="shared" si="18"/>
        <v>67076.201310970704</v>
      </c>
      <c r="L33" s="110">
        <f t="shared" si="18"/>
        <v>142108.18997920415</v>
      </c>
      <c r="M33" s="110">
        <f t="shared" si="18"/>
        <v>82877.822639094185</v>
      </c>
      <c r="N33" s="110">
        <f t="shared" si="18"/>
        <v>43278.297160607508</v>
      </c>
      <c r="O33" s="110">
        <f t="shared" si="18"/>
        <v>0</v>
      </c>
      <c r="P33" s="110">
        <f t="shared" si="18"/>
        <v>0</v>
      </c>
      <c r="Q33" s="110">
        <f t="shared" si="18"/>
        <v>0</v>
      </c>
      <c r="R33" s="110">
        <f t="shared" si="18"/>
        <v>0</v>
      </c>
      <c r="S33" s="110">
        <f t="shared" si="18"/>
        <v>0</v>
      </c>
      <c r="T33" s="110">
        <f t="shared" si="18"/>
        <v>0</v>
      </c>
      <c r="U33" s="110">
        <f t="shared" si="18"/>
        <v>0</v>
      </c>
      <c r="V33" s="110">
        <f t="shared" si="18"/>
        <v>0</v>
      </c>
      <c r="W33" s="110">
        <f t="shared" si="18"/>
        <v>0</v>
      </c>
      <c r="X33" s="110">
        <f t="shared" si="18"/>
        <v>0</v>
      </c>
      <c r="Y33" s="110">
        <f t="shared" si="18"/>
        <v>0</v>
      </c>
      <c r="Z33" s="110">
        <f t="shared" si="18"/>
        <v>0</v>
      </c>
      <c r="AA33" s="110">
        <f t="shared" si="18"/>
        <v>0</v>
      </c>
      <c r="AB33" s="110">
        <f t="shared" si="18"/>
        <v>0</v>
      </c>
      <c r="AC33" s="110">
        <f t="shared" si="18"/>
        <v>0</v>
      </c>
      <c r="AD33" s="110">
        <f t="shared" si="18"/>
        <v>0</v>
      </c>
      <c r="AE33" s="110">
        <f t="shared" si="18"/>
        <v>0</v>
      </c>
      <c r="AF33" s="110">
        <f t="shared" si="18"/>
        <v>0</v>
      </c>
      <c r="AG33" s="110">
        <f t="shared" si="18"/>
        <v>0</v>
      </c>
      <c r="AH33" s="110">
        <f t="shared" ref="AH33:AL33" si="19">AH27+AH31+AH32</f>
        <v>0</v>
      </c>
      <c r="AI33" s="110">
        <f t="shared" si="19"/>
        <v>0</v>
      </c>
      <c r="AJ33" s="110">
        <f t="shared" si="19"/>
        <v>0</v>
      </c>
      <c r="AK33" s="110">
        <f t="shared" si="19"/>
        <v>0</v>
      </c>
      <c r="AL33" s="110">
        <f t="shared" si="19"/>
        <v>0</v>
      </c>
    </row>
    <row r="34" spans="2:38" s="406" customFormat="1" ht="15.5">
      <c r="B34" s="404"/>
      <c r="C34" s="405">
        <v>1</v>
      </c>
      <c r="D34" s="283">
        <f>IF(D4&lt;=$B35,C34+1,0)</f>
        <v>2</v>
      </c>
      <c r="E34" s="283">
        <f t="shared" ref="E34:AL34" si="20">IF(E4&lt;=$B35,D34+1,0)</f>
        <v>3</v>
      </c>
      <c r="F34" s="283">
        <f t="shared" si="20"/>
        <v>4</v>
      </c>
      <c r="G34" s="283">
        <f t="shared" si="20"/>
        <v>5</v>
      </c>
      <c r="H34" s="283">
        <f t="shared" si="20"/>
        <v>6</v>
      </c>
      <c r="I34" s="283">
        <f t="shared" si="20"/>
        <v>7</v>
      </c>
      <c r="J34" s="283">
        <f t="shared" si="20"/>
        <v>8</v>
      </c>
      <c r="K34" s="283">
        <f t="shared" si="20"/>
        <v>9</v>
      </c>
      <c r="L34" s="283">
        <f t="shared" si="20"/>
        <v>10</v>
      </c>
      <c r="M34" s="283">
        <f t="shared" si="20"/>
        <v>11</v>
      </c>
      <c r="N34" s="283">
        <f t="shared" si="20"/>
        <v>12</v>
      </c>
      <c r="O34" s="283">
        <f t="shared" si="20"/>
        <v>0</v>
      </c>
      <c r="P34" s="283">
        <f t="shared" si="20"/>
        <v>0</v>
      </c>
      <c r="Q34" s="283">
        <f t="shared" si="20"/>
        <v>0</v>
      </c>
      <c r="R34" s="283">
        <f t="shared" si="20"/>
        <v>0</v>
      </c>
      <c r="S34" s="283">
        <f t="shared" si="20"/>
        <v>0</v>
      </c>
      <c r="T34" s="283">
        <f t="shared" si="20"/>
        <v>0</v>
      </c>
      <c r="U34" s="283">
        <f t="shared" si="20"/>
        <v>0</v>
      </c>
      <c r="V34" s="283">
        <f t="shared" si="20"/>
        <v>0</v>
      </c>
      <c r="W34" s="283">
        <f t="shared" si="20"/>
        <v>0</v>
      </c>
      <c r="X34" s="283">
        <f t="shared" si="20"/>
        <v>0</v>
      </c>
      <c r="Y34" s="283">
        <f t="shared" si="20"/>
        <v>0</v>
      </c>
      <c r="Z34" s="283">
        <f t="shared" si="20"/>
        <v>0</v>
      </c>
      <c r="AA34" s="283">
        <f t="shared" si="20"/>
        <v>0</v>
      </c>
      <c r="AB34" s="283">
        <f t="shared" si="20"/>
        <v>0</v>
      </c>
      <c r="AC34" s="283">
        <f t="shared" si="20"/>
        <v>0</v>
      </c>
      <c r="AD34" s="283">
        <f t="shared" si="20"/>
        <v>0</v>
      </c>
      <c r="AE34" s="283">
        <f t="shared" si="20"/>
        <v>0</v>
      </c>
      <c r="AF34" s="283">
        <f t="shared" si="20"/>
        <v>0</v>
      </c>
      <c r="AG34" s="283">
        <f t="shared" si="20"/>
        <v>0</v>
      </c>
      <c r="AH34" s="283">
        <f t="shared" si="20"/>
        <v>0</v>
      </c>
      <c r="AI34" s="283">
        <f t="shared" si="20"/>
        <v>0</v>
      </c>
      <c r="AJ34" s="283">
        <f t="shared" si="20"/>
        <v>0</v>
      </c>
      <c r="AK34" s="283">
        <f t="shared" si="20"/>
        <v>0</v>
      </c>
      <c r="AL34" s="283">
        <f t="shared" si="20"/>
        <v>0</v>
      </c>
    </row>
    <row r="35" spans="2:38" s="406" customFormat="1" ht="13">
      <c r="B35" s="404">
        <f>MAX(C35:AL35)</f>
        <v>2001</v>
      </c>
      <c r="C35" s="407">
        <v>1990</v>
      </c>
      <c r="D35" s="407">
        <f t="shared" ref="D35:AL35" si="21">IF(D33=0,0,D26)</f>
        <v>1991</v>
      </c>
      <c r="E35" s="407">
        <f t="shared" si="21"/>
        <v>1992</v>
      </c>
      <c r="F35" s="407">
        <f t="shared" si="21"/>
        <v>1993</v>
      </c>
      <c r="G35" s="407">
        <f t="shared" si="21"/>
        <v>1994</v>
      </c>
      <c r="H35" s="407">
        <f t="shared" si="21"/>
        <v>1995</v>
      </c>
      <c r="I35" s="407">
        <f t="shared" si="21"/>
        <v>1996</v>
      </c>
      <c r="J35" s="407">
        <f t="shared" si="21"/>
        <v>0</v>
      </c>
      <c r="K35" s="407">
        <f t="shared" si="21"/>
        <v>1998</v>
      </c>
      <c r="L35" s="407">
        <f t="shared" si="21"/>
        <v>1999</v>
      </c>
      <c r="M35" s="407">
        <f t="shared" si="21"/>
        <v>2000</v>
      </c>
      <c r="N35" s="407">
        <f t="shared" si="21"/>
        <v>2001</v>
      </c>
      <c r="O35" s="407">
        <f t="shared" si="21"/>
        <v>0</v>
      </c>
      <c r="P35" s="407">
        <f t="shared" si="21"/>
        <v>0</v>
      </c>
      <c r="Q35" s="407">
        <f t="shared" si="21"/>
        <v>0</v>
      </c>
      <c r="R35" s="407">
        <f t="shared" si="21"/>
        <v>0</v>
      </c>
      <c r="S35" s="407">
        <f t="shared" si="21"/>
        <v>0</v>
      </c>
      <c r="T35" s="407">
        <f t="shared" si="21"/>
        <v>0</v>
      </c>
      <c r="U35" s="407">
        <f t="shared" si="21"/>
        <v>0</v>
      </c>
      <c r="V35" s="407">
        <f t="shared" si="21"/>
        <v>0</v>
      </c>
      <c r="W35" s="407">
        <f t="shared" si="21"/>
        <v>0</v>
      </c>
      <c r="X35" s="407">
        <f t="shared" si="21"/>
        <v>0</v>
      </c>
      <c r="Y35" s="407">
        <f t="shared" si="21"/>
        <v>0</v>
      </c>
      <c r="Z35" s="407">
        <f t="shared" si="21"/>
        <v>0</v>
      </c>
      <c r="AA35" s="407">
        <f t="shared" si="21"/>
        <v>0</v>
      </c>
      <c r="AB35" s="407">
        <f t="shared" si="21"/>
        <v>0</v>
      </c>
      <c r="AC35" s="407">
        <f t="shared" si="21"/>
        <v>0</v>
      </c>
      <c r="AD35" s="407">
        <f t="shared" si="21"/>
        <v>0</v>
      </c>
      <c r="AE35" s="407">
        <f t="shared" si="21"/>
        <v>0</v>
      </c>
      <c r="AF35" s="407">
        <f t="shared" si="21"/>
        <v>0</v>
      </c>
      <c r="AG35" s="407">
        <f t="shared" si="21"/>
        <v>0</v>
      </c>
      <c r="AH35" s="407">
        <f t="shared" si="21"/>
        <v>0</v>
      </c>
      <c r="AI35" s="407">
        <f t="shared" si="21"/>
        <v>0</v>
      </c>
      <c r="AJ35" s="407">
        <f t="shared" si="21"/>
        <v>0</v>
      </c>
      <c r="AK35" s="407">
        <f t="shared" si="21"/>
        <v>0</v>
      </c>
      <c r="AL35" s="407">
        <f t="shared" si="21"/>
        <v>0</v>
      </c>
    </row>
    <row r="36" spans="2:38" ht="14">
      <c r="B36" s="111"/>
      <c r="C36" s="97"/>
      <c r="D36" s="97"/>
      <c r="E36" s="97"/>
      <c r="F36" s="97"/>
      <c r="G36" s="97"/>
      <c r="H36" s="97"/>
      <c r="I36" s="97"/>
      <c r="J36" s="97"/>
      <c r="K36" s="97"/>
      <c r="L36" s="97"/>
      <c r="M36" s="97"/>
    </row>
    <row r="37" spans="2:38" ht="14">
      <c r="B37" s="111"/>
      <c r="C37" s="97"/>
      <c r="D37" s="97"/>
      <c r="E37" s="97"/>
      <c r="F37" s="97"/>
      <c r="G37" s="97"/>
      <c r="H37" s="97"/>
      <c r="I37" s="97"/>
      <c r="J37" s="97"/>
      <c r="K37" s="97"/>
      <c r="L37" s="97"/>
      <c r="M37" s="97"/>
      <c r="U37" s="296" t="str">
        <f>"GHG Emissions from Landfills and Waste Combustion, 1990-"&amp;B35</f>
        <v>GHG Emissions from Landfills and Waste Combustion, 1990-2001</v>
      </c>
      <c r="V37" s="308"/>
      <c r="W37" s="308"/>
      <c r="X37" s="308"/>
      <c r="Y37" s="308"/>
    </row>
    <row r="38" spans="2:38">
      <c r="C38" s="112"/>
      <c r="U38" s="296" t="str">
        <f>"Methane Emissions from Landfills, 1990-"&amp;B35</f>
        <v>Methane Emissions from Landfills, 1990-2001</v>
      </c>
      <c r="V38" s="308"/>
      <c r="W38" s="308"/>
      <c r="X38" s="308"/>
      <c r="Y38" s="308"/>
    </row>
    <row r="39" spans="2:38">
      <c r="U39" s="296" t="str">
        <f>"Emissions from Waste Combustion, 1990-"&amp;B35</f>
        <v>Emissions from Waste Combustion, 1990-2001</v>
      </c>
      <c r="V39" s="308"/>
      <c r="W39" s="308"/>
      <c r="X39" s="308"/>
      <c r="Y39" s="308"/>
    </row>
    <row r="40" spans="2:38">
      <c r="U40" s="308"/>
      <c r="V40" s="308"/>
      <c r="W40" s="308"/>
      <c r="X40" s="308"/>
      <c r="Y40" s="308"/>
    </row>
    <row r="41" spans="2:38">
      <c r="U41" s="308"/>
      <c r="V41" s="308"/>
      <c r="W41" s="308"/>
      <c r="X41" s="308"/>
      <c r="Y41" s="308"/>
    </row>
    <row r="42" spans="2:38">
      <c r="U42" s="308"/>
      <c r="V42" s="308"/>
      <c r="W42" s="308"/>
      <c r="X42" s="308"/>
      <c r="Y42" s="308"/>
    </row>
    <row r="43" spans="2:38">
      <c r="U43" s="308"/>
      <c r="V43" s="308"/>
      <c r="W43" s="308"/>
      <c r="X43" s="308"/>
      <c r="Y43" s="308"/>
    </row>
    <row r="44" spans="2:38">
      <c r="U44" s="308"/>
      <c r="V44" s="308"/>
      <c r="W44" s="308"/>
      <c r="X44" s="308"/>
      <c r="Y44" s="308"/>
    </row>
    <row r="45" spans="2:38">
      <c r="U45" s="308"/>
      <c r="V45" s="308"/>
      <c r="W45" s="308"/>
      <c r="X45" s="308"/>
      <c r="Y45" s="308"/>
    </row>
    <row r="46" spans="2:38">
      <c r="U46" s="308"/>
      <c r="V46" s="308"/>
      <c r="W46" s="308"/>
      <c r="X46" s="308"/>
      <c r="Y46" s="308"/>
    </row>
    <row r="47" spans="2:38">
      <c r="U47" s="308"/>
      <c r="V47" s="308"/>
      <c r="W47" s="308"/>
      <c r="X47" s="308"/>
      <c r="Y47" s="308"/>
    </row>
    <row r="48" spans="2:38">
      <c r="U48" s="308"/>
      <c r="V48" s="308"/>
      <c r="W48" s="308"/>
      <c r="X48" s="308"/>
      <c r="Y48" s="308"/>
    </row>
    <row r="49" spans="21:25">
      <c r="U49" s="308"/>
      <c r="V49" s="308"/>
      <c r="W49" s="308"/>
      <c r="X49" s="308"/>
      <c r="Y49" s="308"/>
    </row>
    <row r="50" spans="21:25">
      <c r="U50" s="308"/>
      <c r="V50" s="308"/>
      <c r="W50" s="308"/>
      <c r="X50" s="308"/>
      <c r="Y50" s="308"/>
    </row>
    <row r="51" spans="21:25">
      <c r="U51" s="308"/>
      <c r="V51" s="308"/>
      <c r="W51" s="308"/>
      <c r="X51" s="308"/>
      <c r="Y51" s="308"/>
    </row>
    <row r="52" spans="21:25">
      <c r="U52" s="308"/>
      <c r="V52" s="308"/>
      <c r="W52" s="308"/>
      <c r="X52" s="308"/>
      <c r="Y52" s="308"/>
    </row>
    <row r="53" spans="21:25">
      <c r="U53" s="308"/>
      <c r="V53" s="308"/>
      <c r="W53" s="308"/>
      <c r="X53" s="308"/>
      <c r="Y53" s="308"/>
    </row>
    <row r="54" spans="21:25">
      <c r="U54" s="308"/>
      <c r="V54" s="308"/>
      <c r="W54" s="308"/>
      <c r="X54" s="308"/>
      <c r="Y54" s="308"/>
    </row>
    <row r="55" spans="21:25">
      <c r="U55" s="308"/>
      <c r="V55" s="308"/>
      <c r="W55" s="308"/>
      <c r="X55" s="308"/>
      <c r="Y55" s="308"/>
    </row>
    <row r="56" spans="21:25">
      <c r="U56" s="308"/>
      <c r="V56" s="308"/>
      <c r="W56" s="308"/>
      <c r="X56" s="308"/>
      <c r="Y56" s="308"/>
    </row>
    <row r="57" spans="21:25">
      <c r="U57" s="308"/>
      <c r="V57" s="308"/>
      <c r="W57" s="308"/>
      <c r="X57" s="308"/>
      <c r="Y57" s="308"/>
    </row>
    <row r="58" spans="21:25">
      <c r="U58" s="308"/>
      <c r="V58" s="308"/>
      <c r="W58" s="308"/>
      <c r="X58" s="308"/>
      <c r="Y58" s="308"/>
    </row>
    <row r="59" spans="21:25">
      <c r="U59" s="308"/>
      <c r="V59" s="308"/>
      <c r="W59" s="308"/>
      <c r="X59" s="308"/>
      <c r="Y59" s="308"/>
    </row>
    <row r="60" spans="21:25">
      <c r="U60" s="308"/>
      <c r="V60" s="308"/>
      <c r="W60" s="308"/>
      <c r="X60" s="308"/>
      <c r="Y60" s="308"/>
    </row>
  </sheetData>
  <sheetProtection algorithmName="SHA-512" hashValue="1FvXEgUDtwWjfZHvhSz3r4KzvXROyJxtUPersFYX//VVaMz04e6D7n8s2J4VU5lvYKmfoeqx4M3JRwmv3EwdXw==" saltValue="3VmQRUzLwXCQiu6/bqt4/w==" spinCount="100000" sheet="1" objects="1" scenarios="1"/>
  <protectedRanges>
    <protectedRange sqref="C8:AL10" name="AES Waste"/>
  </protectedRanges>
  <mergeCells count="1">
    <mergeCell ref="A1:E1"/>
  </mergeCells>
  <phoneticPr fontId="0" type="noConversion"/>
  <pageMargins left="0.75" right="0.75" top="1" bottom="1" header="0.5" footer="0.5"/>
  <pageSetup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dimension ref="A1:AZ35"/>
  <sheetViews>
    <sheetView showGridLines="0" showRowColHeaders="0" workbookViewId="0">
      <selection activeCell="B4" sqref="B4"/>
    </sheetView>
  </sheetViews>
  <sheetFormatPr defaultRowHeight="12.5"/>
  <cols>
    <col min="1" max="1" width="3.1796875" customWidth="1"/>
    <col min="2" max="2" width="29.7265625" customWidth="1"/>
  </cols>
  <sheetData>
    <row r="1" spans="1:52" s="82" customFormat="1" ht="39" customHeight="1">
      <c r="A1" s="426" t="str">
        <f>"Summary of CH4 and N2O Emissions from Wastewater in "&amp;StateName&amp;" (MMTCO2E)"</f>
        <v>Summary of CH4 and N2O Emissions from Wastewater in Illinois (MMTCO2E)</v>
      </c>
      <c r="B1" s="426"/>
      <c r="C1" s="426"/>
      <c r="D1" s="426"/>
      <c r="E1" s="426"/>
      <c r="F1" s="426"/>
      <c r="G1" s="426"/>
      <c r="H1" s="426"/>
      <c r="AZ1" s="82">
        <v>45329.446548726854</v>
      </c>
    </row>
    <row r="3" spans="1:52" ht="67" customHeight="1"/>
    <row r="4" spans="1:52" ht="14.5" thickBot="1">
      <c r="B4" s="20" t="s">
        <v>208</v>
      </c>
      <c r="C4" s="20">
        <v>1990</v>
      </c>
      <c r="D4" s="20">
        <v>1991</v>
      </c>
      <c r="E4" s="20">
        <v>1992</v>
      </c>
      <c r="F4" s="20">
        <v>1993</v>
      </c>
      <c r="G4" s="20">
        <v>1994</v>
      </c>
      <c r="H4" s="20">
        <v>1995</v>
      </c>
      <c r="I4" s="20">
        <v>1996</v>
      </c>
      <c r="J4" s="20">
        <v>1997</v>
      </c>
      <c r="K4" s="20">
        <v>1998</v>
      </c>
      <c r="L4" s="20">
        <v>1999</v>
      </c>
      <c r="M4" s="20">
        <v>2000</v>
      </c>
      <c r="N4" s="20">
        <v>2001</v>
      </c>
      <c r="O4" s="20">
        <v>2002</v>
      </c>
      <c r="P4" s="20">
        <v>2003</v>
      </c>
      <c r="Q4" s="20">
        <v>2004</v>
      </c>
      <c r="R4" s="20">
        <v>2005</v>
      </c>
      <c r="S4" s="20">
        <v>2006</v>
      </c>
      <c r="T4" s="20">
        <v>2007</v>
      </c>
      <c r="U4" s="20">
        <v>2008</v>
      </c>
      <c r="V4" s="20">
        <v>2009</v>
      </c>
      <c r="W4" s="20">
        <v>2010</v>
      </c>
      <c r="X4" s="20">
        <v>2011</v>
      </c>
      <c r="Y4" s="20">
        <v>2012</v>
      </c>
      <c r="Z4" s="20">
        <v>2013</v>
      </c>
      <c r="AA4" s="20">
        <v>2014</v>
      </c>
      <c r="AB4" s="20">
        <v>2015</v>
      </c>
      <c r="AC4" s="20">
        <v>2016</v>
      </c>
      <c r="AD4" s="20">
        <v>2017</v>
      </c>
      <c r="AE4" s="20">
        <v>2018</v>
      </c>
      <c r="AF4" s="20">
        <v>2019</v>
      </c>
      <c r="AG4" s="20">
        <v>2020</v>
      </c>
      <c r="AH4" s="20">
        <v>2021</v>
      </c>
      <c r="AI4" s="20">
        <v>2022</v>
      </c>
      <c r="AJ4" s="20">
        <v>2023</v>
      </c>
      <c r="AK4" s="20">
        <v>2024</v>
      </c>
      <c r="AL4" s="20">
        <v>2025</v>
      </c>
    </row>
    <row r="5" spans="1:52" ht="14">
      <c r="B5" s="18" t="s">
        <v>209</v>
      </c>
      <c r="C5" s="200">
        <v>0.80755256691406052</v>
      </c>
      <c r="D5" s="200">
        <v>0.81570669793240302</v>
      </c>
      <c r="E5" s="200">
        <v>0.82453573333393904</v>
      </c>
      <c r="F5" s="200">
        <v>0.83267202578051491</v>
      </c>
      <c r="G5" s="200">
        <v>0.83993479227604773</v>
      </c>
      <c r="H5" s="200">
        <v>0.84669314318890543</v>
      </c>
      <c r="I5" s="200">
        <v>0.85328988933303329</v>
      </c>
      <c r="J5" s="200">
        <v>0.85919269388299169</v>
      </c>
      <c r="K5" s="200">
        <v>0.86526570520071333</v>
      </c>
      <c r="L5" s="200">
        <v>0.87141211554297582</v>
      </c>
      <c r="M5" s="200">
        <v>0.87671017135759655</v>
      </c>
      <c r="N5" s="200">
        <v>0.88053763787841588</v>
      </c>
      <c r="O5" s="200">
        <v>0.88315426727297264</v>
      </c>
      <c r="P5" s="200">
        <v>0.88530124162193258</v>
      </c>
      <c r="Q5" s="200">
        <v>0.88768209163314205</v>
      </c>
      <c r="R5" s="200">
        <v>0.88910142147368609</v>
      </c>
      <c r="S5" s="200">
        <v>0.89150236631870372</v>
      </c>
      <c r="T5" s="200">
        <v>0.89516251690750037</v>
      </c>
      <c r="U5" s="200">
        <v>0.89877056194477412</v>
      </c>
      <c r="V5" s="200">
        <v>0.90227763925568616</v>
      </c>
      <c r="W5" s="200">
        <v>0.90536357115489574</v>
      </c>
      <c r="X5" s="200">
        <v>0.90728407320143023</v>
      </c>
      <c r="Y5" s="200">
        <v>0.90835904104787479</v>
      </c>
      <c r="Z5" s="200">
        <v>0.90925794994688613</v>
      </c>
      <c r="AA5" s="200">
        <v>0.90850449944136924</v>
      </c>
      <c r="AB5" s="200">
        <v>0.90670604706964752</v>
      </c>
      <c r="AC5" s="200">
        <v>0.90403547891065905</v>
      </c>
      <c r="AD5" s="200">
        <v>0.90108710848779794</v>
      </c>
      <c r="AE5" s="200">
        <v>0.89719449240052751</v>
      </c>
      <c r="AF5" s="200">
        <v>0.8931284261688095</v>
      </c>
      <c r="AG5" s="200">
        <v>0.88752394176566363</v>
      </c>
      <c r="AH5" s="200">
        <v>0</v>
      </c>
      <c r="AI5" s="200">
        <v>0</v>
      </c>
      <c r="AJ5" s="200">
        <v>0</v>
      </c>
      <c r="AK5" s="200">
        <v>0</v>
      </c>
      <c r="AL5" s="200">
        <v>0</v>
      </c>
    </row>
    <row r="6" spans="1:52" ht="14">
      <c r="B6" s="18" t="s">
        <v>210</v>
      </c>
      <c r="C6" s="200">
        <v>0.29777998929022331</v>
      </c>
      <c r="D6" s="200">
        <v>0.30325027828791473</v>
      </c>
      <c r="E6" s="200">
        <v>0.30902276296312259</v>
      </c>
      <c r="F6" s="200">
        <v>0.31207211482316938</v>
      </c>
      <c r="G6" s="200">
        <v>0.31986743274139384</v>
      </c>
      <c r="H6" s="200">
        <v>0.3198840902364638</v>
      </c>
      <c r="I6" s="200">
        <v>0.3249533758990219</v>
      </c>
      <c r="J6" s="200">
        <v>0.32460647098834183</v>
      </c>
      <c r="K6" s="200">
        <v>0.32951405550392093</v>
      </c>
      <c r="L6" s="200">
        <v>0.33711823482357672</v>
      </c>
      <c r="M6" s="200">
        <v>0.3391678634577952</v>
      </c>
      <c r="N6" s="200">
        <v>0.33532997591052627</v>
      </c>
      <c r="O6" s="200">
        <v>0.33899365280026006</v>
      </c>
      <c r="P6" s="200">
        <v>0.34249144180964514</v>
      </c>
      <c r="Q6" s="200">
        <v>0.34609338337865908</v>
      </c>
      <c r="R6" s="200">
        <v>0.34127643351137121</v>
      </c>
      <c r="S6" s="200">
        <v>0.34489043555142224</v>
      </c>
      <c r="T6" s="200">
        <v>0.34360294990518786</v>
      </c>
      <c r="U6" s="200">
        <v>0.33955914944131638</v>
      </c>
      <c r="V6" s="200">
        <v>0.33815918191347949</v>
      </c>
      <c r="W6" s="200">
        <v>0.33931573967472267</v>
      </c>
      <c r="X6" s="200">
        <v>0.33320405002348863</v>
      </c>
      <c r="Y6" s="200">
        <v>0.3367446717851415</v>
      </c>
      <c r="Z6" s="200">
        <v>0.33684025665373679</v>
      </c>
      <c r="AA6" s="200">
        <v>0.3408354078970337</v>
      </c>
      <c r="AB6" s="200">
        <v>0.34371554082372452</v>
      </c>
      <c r="AC6" s="200">
        <v>0.34382627976365848</v>
      </c>
      <c r="AD6" s="200">
        <v>0.34419507961258111</v>
      </c>
      <c r="AE6" s="200">
        <v>0.34419188578243037</v>
      </c>
      <c r="AF6" s="200">
        <v>0.33880791614117928</v>
      </c>
      <c r="AG6" s="200">
        <v>0.3368126949154352</v>
      </c>
      <c r="AH6" s="200">
        <v>0</v>
      </c>
      <c r="AI6" s="200">
        <v>0</v>
      </c>
      <c r="AJ6" s="200">
        <v>0</v>
      </c>
      <c r="AK6" s="200">
        <v>0</v>
      </c>
      <c r="AL6" s="200">
        <v>0</v>
      </c>
    </row>
    <row r="7" spans="1:52" ht="14">
      <c r="B7" s="18" t="s">
        <v>211</v>
      </c>
      <c r="C7" s="200">
        <v>8.3876252057135989E-2</v>
      </c>
      <c r="D7" s="200">
        <v>8.0221047579287982E-2</v>
      </c>
      <c r="E7" s="200">
        <v>8.0971094180591993E-2</v>
      </c>
      <c r="F7" s="200">
        <v>7.6552267597343987E-2</v>
      </c>
      <c r="G7" s="200">
        <v>8.740588312209599E-2</v>
      </c>
      <c r="H7" s="200">
        <v>8.8522468333992022E-2</v>
      </c>
      <c r="I7" s="200">
        <v>8.248136901127201E-2</v>
      </c>
      <c r="J7" s="200">
        <v>8.1239210386487987E-2</v>
      </c>
      <c r="K7" s="200">
        <v>8.7246370948967991E-2</v>
      </c>
      <c r="L7" s="200">
        <v>8.8447803061463978E-2</v>
      </c>
      <c r="M7" s="200">
        <v>9.0996603955488004E-2</v>
      </c>
      <c r="N7" s="200">
        <v>8.9893594247687975E-2</v>
      </c>
      <c r="O7" s="200">
        <v>8.9106215010120005E-2</v>
      </c>
      <c r="P7" s="200">
        <v>8.4673812922775996E-2</v>
      </c>
      <c r="Q7" s="200">
        <v>8.9842686107327999E-2</v>
      </c>
      <c r="R7" s="200">
        <v>9.0816728526216001E-2</v>
      </c>
      <c r="S7" s="200">
        <v>9.2903962280976013E-2</v>
      </c>
      <c r="T7" s="200">
        <v>9.7115762426760011E-2</v>
      </c>
      <c r="U7" s="200">
        <v>0.10281408027105601</v>
      </c>
      <c r="V7" s="200">
        <v>9.5931299694384006E-2</v>
      </c>
      <c r="W7" s="200">
        <v>9.216070343171999E-2</v>
      </c>
      <c r="X7" s="200">
        <v>9.3572555857703979E-2</v>
      </c>
      <c r="Y7" s="200">
        <v>0.10101871985435999</v>
      </c>
      <c r="Z7" s="200">
        <v>0.10337067593899202</v>
      </c>
      <c r="AA7" s="200">
        <v>0.10280050476696</v>
      </c>
      <c r="AB7" s="200">
        <v>0.11141755599189601</v>
      </c>
      <c r="AC7" s="200">
        <v>0.11444828728132803</v>
      </c>
      <c r="AD7" s="200">
        <v>0.11467567697493601</v>
      </c>
      <c r="AE7" s="200">
        <v>0.11539178481599997</v>
      </c>
      <c r="AF7" s="200">
        <v>0.11819512641182398</v>
      </c>
      <c r="AG7" s="200">
        <v>0.11960019108576002</v>
      </c>
      <c r="AH7" s="200">
        <v>0</v>
      </c>
      <c r="AI7" s="200">
        <v>0</v>
      </c>
      <c r="AJ7" s="200">
        <v>0</v>
      </c>
      <c r="AK7" s="200">
        <v>0</v>
      </c>
      <c r="AL7" s="200">
        <v>0</v>
      </c>
    </row>
    <row r="8" spans="1:52" ht="14">
      <c r="B8" s="23" t="s">
        <v>212</v>
      </c>
      <c r="C8" s="200">
        <v>0</v>
      </c>
      <c r="D8" s="200">
        <v>0</v>
      </c>
      <c r="E8" s="200">
        <v>0</v>
      </c>
      <c r="F8" s="200">
        <v>0</v>
      </c>
      <c r="G8" s="200">
        <v>0</v>
      </c>
      <c r="H8" s="200">
        <v>0</v>
      </c>
      <c r="I8" s="200">
        <v>0</v>
      </c>
      <c r="J8" s="200">
        <v>0</v>
      </c>
      <c r="K8" s="200">
        <v>0</v>
      </c>
      <c r="L8" s="200">
        <v>0</v>
      </c>
      <c r="M8" s="200">
        <v>0</v>
      </c>
      <c r="N8" s="200">
        <v>0</v>
      </c>
      <c r="O8" s="200">
        <v>0</v>
      </c>
      <c r="P8" s="200">
        <v>0</v>
      </c>
      <c r="Q8" s="200">
        <v>0</v>
      </c>
      <c r="R8" s="200">
        <v>0</v>
      </c>
      <c r="S8" s="200">
        <v>0</v>
      </c>
      <c r="T8" s="200">
        <v>0</v>
      </c>
      <c r="U8" s="200">
        <v>0</v>
      </c>
      <c r="V8" s="200">
        <v>0</v>
      </c>
      <c r="W8" s="200">
        <v>0</v>
      </c>
      <c r="X8" s="200">
        <v>0</v>
      </c>
      <c r="Y8" s="200">
        <v>0</v>
      </c>
      <c r="Z8" s="200">
        <v>0</v>
      </c>
      <c r="AA8" s="200">
        <v>0</v>
      </c>
      <c r="AB8" s="200">
        <v>0</v>
      </c>
      <c r="AC8" s="200">
        <v>0</v>
      </c>
      <c r="AD8" s="200">
        <v>0</v>
      </c>
      <c r="AE8" s="200">
        <v>0</v>
      </c>
      <c r="AF8" s="200">
        <v>0</v>
      </c>
      <c r="AG8" s="200">
        <v>0</v>
      </c>
      <c r="AH8" s="200">
        <v>0</v>
      </c>
      <c r="AI8" s="200">
        <v>0</v>
      </c>
      <c r="AJ8" s="200">
        <v>0</v>
      </c>
      <c r="AK8" s="200">
        <v>0</v>
      </c>
      <c r="AL8" s="200">
        <v>0</v>
      </c>
    </row>
    <row r="9" spans="1:52" ht="14">
      <c r="B9" s="23" t="s">
        <v>213</v>
      </c>
      <c r="C9" s="200">
        <v>8.3876252057135989E-2</v>
      </c>
      <c r="D9" s="200">
        <v>8.0221047579287982E-2</v>
      </c>
      <c r="E9" s="200">
        <v>8.0971094180591993E-2</v>
      </c>
      <c r="F9" s="200">
        <v>7.6552267597343987E-2</v>
      </c>
      <c r="G9" s="200">
        <v>8.740588312209599E-2</v>
      </c>
      <c r="H9" s="200">
        <v>8.8522468333992022E-2</v>
      </c>
      <c r="I9" s="200">
        <v>8.248136901127201E-2</v>
      </c>
      <c r="J9" s="200">
        <v>8.1239210386487987E-2</v>
      </c>
      <c r="K9" s="200">
        <v>8.7246370948967991E-2</v>
      </c>
      <c r="L9" s="200">
        <v>8.8447803061463978E-2</v>
      </c>
      <c r="M9" s="200">
        <v>9.0996603955488004E-2</v>
      </c>
      <c r="N9" s="200">
        <v>8.9893594247687975E-2</v>
      </c>
      <c r="O9" s="200">
        <v>8.9106215010120005E-2</v>
      </c>
      <c r="P9" s="200">
        <v>8.4673812922775996E-2</v>
      </c>
      <c r="Q9" s="200">
        <v>8.9842686107327999E-2</v>
      </c>
      <c r="R9" s="200">
        <v>9.0816728526216001E-2</v>
      </c>
      <c r="S9" s="200">
        <v>9.2903962280976013E-2</v>
      </c>
      <c r="T9" s="200">
        <v>9.7115762426760011E-2</v>
      </c>
      <c r="U9" s="200">
        <v>0.10281408027105601</v>
      </c>
      <c r="V9" s="200">
        <v>9.5931299694384006E-2</v>
      </c>
      <c r="W9" s="200">
        <v>9.216070343171999E-2</v>
      </c>
      <c r="X9" s="200">
        <v>9.3572555857703979E-2</v>
      </c>
      <c r="Y9" s="200">
        <v>0.10101871985435999</v>
      </c>
      <c r="Z9" s="200">
        <v>0.10337067593899202</v>
      </c>
      <c r="AA9" s="200">
        <v>0.10280050476696</v>
      </c>
      <c r="AB9" s="200">
        <v>0.11141755599189601</v>
      </c>
      <c r="AC9" s="200">
        <v>0.11444828728132803</v>
      </c>
      <c r="AD9" s="200">
        <v>0.11467567697493601</v>
      </c>
      <c r="AE9" s="200">
        <v>0.11539178481599997</v>
      </c>
      <c r="AF9" s="200">
        <v>0.11819512641182398</v>
      </c>
      <c r="AG9" s="200">
        <v>0.11960019108576002</v>
      </c>
      <c r="AH9" s="200">
        <v>0</v>
      </c>
      <c r="AI9" s="200">
        <v>0</v>
      </c>
      <c r="AJ9" s="200">
        <v>0</v>
      </c>
      <c r="AK9" s="200">
        <v>0</v>
      </c>
      <c r="AL9" s="200">
        <v>0</v>
      </c>
    </row>
    <row r="10" spans="1:52" ht="14">
      <c r="B10" s="23" t="s">
        <v>214</v>
      </c>
      <c r="C10" s="200">
        <v>0</v>
      </c>
      <c r="D10" s="200">
        <v>0</v>
      </c>
      <c r="E10" s="200">
        <v>0</v>
      </c>
      <c r="F10" s="200">
        <v>0</v>
      </c>
      <c r="G10" s="200">
        <v>0</v>
      </c>
      <c r="H10" s="200">
        <v>0</v>
      </c>
      <c r="I10" s="200">
        <v>0</v>
      </c>
      <c r="J10" s="200">
        <v>0</v>
      </c>
      <c r="K10" s="200">
        <v>0</v>
      </c>
      <c r="L10" s="200">
        <v>0</v>
      </c>
      <c r="M10" s="200">
        <v>0</v>
      </c>
      <c r="N10" s="200">
        <v>0</v>
      </c>
      <c r="O10" s="200">
        <v>0</v>
      </c>
      <c r="P10" s="200">
        <v>0</v>
      </c>
      <c r="Q10" s="200">
        <v>0</v>
      </c>
      <c r="R10" s="200">
        <v>0</v>
      </c>
      <c r="S10" s="200">
        <v>0</v>
      </c>
      <c r="T10" s="200">
        <v>0</v>
      </c>
      <c r="U10" s="200">
        <v>0</v>
      </c>
      <c r="V10" s="200">
        <v>0</v>
      </c>
      <c r="W10" s="200">
        <v>0</v>
      </c>
      <c r="X10" s="200">
        <v>0</v>
      </c>
      <c r="Y10" s="200">
        <v>0</v>
      </c>
      <c r="Z10" s="200">
        <v>0</v>
      </c>
      <c r="AA10" s="200">
        <v>0</v>
      </c>
      <c r="AB10" s="200">
        <v>0</v>
      </c>
      <c r="AC10" s="200">
        <v>0</v>
      </c>
      <c r="AD10" s="200">
        <v>0</v>
      </c>
      <c r="AE10" s="200">
        <v>0</v>
      </c>
      <c r="AF10" s="200">
        <v>0</v>
      </c>
      <c r="AG10" s="200">
        <v>0</v>
      </c>
      <c r="AH10" s="200">
        <v>0</v>
      </c>
      <c r="AI10" s="200">
        <v>0</v>
      </c>
      <c r="AJ10" s="200">
        <v>0</v>
      </c>
      <c r="AK10" s="200">
        <v>0</v>
      </c>
      <c r="AL10" s="200">
        <v>0</v>
      </c>
    </row>
    <row r="11" spans="1:52" ht="14">
      <c r="B11" s="23" t="s">
        <v>215</v>
      </c>
      <c r="C11" s="200">
        <v>0</v>
      </c>
      <c r="D11" s="200">
        <v>0</v>
      </c>
      <c r="E11" s="200">
        <v>0</v>
      </c>
      <c r="F11" s="200">
        <v>0</v>
      </c>
      <c r="G11" s="200">
        <v>0</v>
      </c>
      <c r="H11" s="200">
        <v>0</v>
      </c>
      <c r="I11" s="200">
        <v>0</v>
      </c>
      <c r="J11" s="200">
        <v>0</v>
      </c>
      <c r="K11" s="200">
        <v>0</v>
      </c>
      <c r="L11" s="200">
        <v>0</v>
      </c>
      <c r="M11" s="200">
        <v>0</v>
      </c>
      <c r="N11" s="200">
        <v>0</v>
      </c>
      <c r="O11" s="200">
        <v>0</v>
      </c>
      <c r="P11" s="200">
        <v>0</v>
      </c>
      <c r="Q11" s="200">
        <v>0</v>
      </c>
      <c r="R11" s="200">
        <v>0</v>
      </c>
      <c r="S11" s="200">
        <v>0</v>
      </c>
      <c r="T11" s="200">
        <v>0</v>
      </c>
      <c r="U11" s="200">
        <v>0</v>
      </c>
      <c r="V11" s="200">
        <v>0</v>
      </c>
      <c r="W11" s="200">
        <v>0</v>
      </c>
      <c r="X11" s="200">
        <v>0</v>
      </c>
      <c r="Y11" s="200">
        <v>0</v>
      </c>
      <c r="Z11" s="200">
        <v>0</v>
      </c>
      <c r="AA11" s="200">
        <v>0</v>
      </c>
      <c r="AB11" s="200">
        <v>0</v>
      </c>
      <c r="AC11" s="200">
        <v>0</v>
      </c>
      <c r="AD11" s="200">
        <v>0</v>
      </c>
      <c r="AE11" s="200">
        <v>0</v>
      </c>
      <c r="AF11" s="200">
        <v>0</v>
      </c>
      <c r="AG11" s="200">
        <v>0</v>
      </c>
      <c r="AH11" s="200">
        <v>0</v>
      </c>
      <c r="AI11" s="200">
        <v>0</v>
      </c>
      <c r="AJ11" s="200">
        <v>0</v>
      </c>
      <c r="AK11" s="200">
        <v>0</v>
      </c>
      <c r="AL11" s="200">
        <v>0</v>
      </c>
    </row>
    <row r="12" spans="1:52" s="331" customFormat="1" ht="13">
      <c r="B12" s="346" t="s">
        <v>133</v>
      </c>
      <c r="C12" s="364"/>
      <c r="D12" s="364"/>
      <c r="E12" s="364"/>
      <c r="F12" s="364"/>
      <c r="G12" s="364"/>
      <c r="H12" s="364"/>
      <c r="I12" s="364"/>
      <c r="J12" s="364"/>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row>
    <row r="13" spans="1:52" s="331" customFormat="1" ht="13.5" thickBot="1">
      <c r="B13" s="18" t="s">
        <v>143</v>
      </c>
      <c r="C13" s="366"/>
      <c r="D13" s="366"/>
      <c r="E13" s="366"/>
      <c r="F13" s="366"/>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row>
    <row r="14" spans="1:52" ht="14.5" thickBot="1">
      <c r="B14" s="150" t="s">
        <v>135</v>
      </c>
      <c r="C14" s="201">
        <f>SUM(C5:C7,C12,C13)</f>
        <v>1.1892088082614196</v>
      </c>
      <c r="D14" s="201">
        <f t="shared" ref="D14:AG14" si="0">SUM(D5:D7,D12,D13)</f>
        <v>1.1991780237996057</v>
      </c>
      <c r="E14" s="201">
        <f t="shared" si="0"/>
        <v>1.2145295904776534</v>
      </c>
      <c r="F14" s="201">
        <f t="shared" si="0"/>
        <v>1.2212964082010282</v>
      </c>
      <c r="G14" s="201">
        <f t="shared" si="0"/>
        <v>1.2472081081395376</v>
      </c>
      <c r="H14" s="201">
        <f t="shared" si="0"/>
        <v>1.2550997017593613</v>
      </c>
      <c r="I14" s="201">
        <f t="shared" si="0"/>
        <v>1.2607246342433271</v>
      </c>
      <c r="J14" s="201">
        <f t="shared" si="0"/>
        <v>1.2650383752578216</v>
      </c>
      <c r="K14" s="201">
        <f t="shared" si="0"/>
        <v>1.2820261316536021</v>
      </c>
      <c r="L14" s="201">
        <f t="shared" si="0"/>
        <v>1.2969781534280165</v>
      </c>
      <c r="M14" s="201">
        <f t="shared" si="0"/>
        <v>1.3068746387708796</v>
      </c>
      <c r="N14" s="201">
        <f t="shared" si="0"/>
        <v>1.3057612080366301</v>
      </c>
      <c r="O14" s="201">
        <f t="shared" si="0"/>
        <v>1.3112541350833529</v>
      </c>
      <c r="P14" s="201">
        <f t="shared" si="0"/>
        <v>1.3124664963543538</v>
      </c>
      <c r="Q14" s="201">
        <f t="shared" si="0"/>
        <v>1.3236181611191291</v>
      </c>
      <c r="R14" s="201">
        <f t="shared" si="0"/>
        <v>1.3211945835112733</v>
      </c>
      <c r="S14" s="201">
        <f t="shared" si="0"/>
        <v>1.329296764151102</v>
      </c>
      <c r="T14" s="201">
        <f t="shared" si="0"/>
        <v>1.3358812292394482</v>
      </c>
      <c r="U14" s="201">
        <f t="shared" si="0"/>
        <v>1.3411437916571465</v>
      </c>
      <c r="V14" s="201">
        <f t="shared" si="0"/>
        <v>1.3363681208635496</v>
      </c>
      <c r="W14" s="201">
        <f t="shared" si="0"/>
        <v>1.3368400142613384</v>
      </c>
      <c r="X14" s="201">
        <f t="shared" si="0"/>
        <v>1.3340606790826228</v>
      </c>
      <c r="Y14" s="201">
        <f t="shared" si="0"/>
        <v>1.3461224326873762</v>
      </c>
      <c r="Z14" s="201">
        <f t="shared" si="0"/>
        <v>1.3494688825396151</v>
      </c>
      <c r="AA14" s="201">
        <f t="shared" si="0"/>
        <v>1.3521404121053631</v>
      </c>
      <c r="AB14" s="201">
        <f t="shared" si="0"/>
        <v>1.3618391438852679</v>
      </c>
      <c r="AC14" s="201">
        <f t="shared" si="0"/>
        <v>1.3623100459556454</v>
      </c>
      <c r="AD14" s="201">
        <f t="shared" si="0"/>
        <v>1.359957865075315</v>
      </c>
      <c r="AE14" s="201">
        <f t="shared" si="0"/>
        <v>1.3567781629989579</v>
      </c>
      <c r="AF14" s="201">
        <f t="shared" si="0"/>
        <v>1.3501314687218127</v>
      </c>
      <c r="AG14" s="201">
        <f t="shared" si="0"/>
        <v>1.3439368277668589</v>
      </c>
      <c r="AH14" s="201">
        <f t="shared" ref="AH14:AL14" si="1">SUM(AH5:AH7,AH12,AH13)</f>
        <v>0</v>
      </c>
      <c r="AI14" s="201">
        <f t="shared" si="1"/>
        <v>0</v>
      </c>
      <c r="AJ14" s="201">
        <f t="shared" si="1"/>
        <v>0</v>
      </c>
      <c r="AK14" s="201">
        <f t="shared" si="1"/>
        <v>0</v>
      </c>
      <c r="AL14" s="201">
        <f t="shared" si="1"/>
        <v>0</v>
      </c>
    </row>
    <row r="15" spans="1:52" ht="30.65" customHeight="1" thickBot="1">
      <c r="B15" s="20" t="s">
        <v>106</v>
      </c>
      <c r="C15" s="20">
        <v>1990</v>
      </c>
      <c r="D15" s="20">
        <v>1991</v>
      </c>
      <c r="E15" s="20">
        <v>1992</v>
      </c>
      <c r="F15" s="20">
        <v>1993</v>
      </c>
      <c r="G15" s="20">
        <v>1994</v>
      </c>
      <c r="H15" s="20">
        <v>1995</v>
      </c>
      <c r="I15" s="20">
        <v>1996</v>
      </c>
      <c r="J15" s="20">
        <v>1997</v>
      </c>
      <c r="K15" s="20">
        <v>1998</v>
      </c>
      <c r="L15" s="20">
        <v>1999</v>
      </c>
      <c r="M15" s="20">
        <v>2000</v>
      </c>
      <c r="N15" s="20">
        <v>2001</v>
      </c>
      <c r="O15" s="20">
        <v>2002</v>
      </c>
      <c r="P15" s="20">
        <v>2003</v>
      </c>
      <c r="Q15" s="20">
        <v>2004</v>
      </c>
      <c r="R15" s="20">
        <v>2005</v>
      </c>
      <c r="S15" s="20">
        <v>2006</v>
      </c>
      <c r="T15" s="20">
        <v>2007</v>
      </c>
      <c r="U15" s="20">
        <v>2008</v>
      </c>
      <c r="V15" s="20">
        <v>2009</v>
      </c>
      <c r="W15" s="20">
        <v>2010</v>
      </c>
      <c r="X15" s="20">
        <v>2011</v>
      </c>
      <c r="Y15" s="20">
        <v>2012</v>
      </c>
      <c r="Z15" s="20">
        <v>2013</v>
      </c>
      <c r="AA15" s="20">
        <v>2014</v>
      </c>
      <c r="AB15" s="20">
        <v>2015</v>
      </c>
      <c r="AC15" s="20">
        <v>2016</v>
      </c>
      <c r="AD15" s="20">
        <v>2017</v>
      </c>
      <c r="AE15" s="20">
        <v>2018</v>
      </c>
      <c r="AF15" s="20">
        <v>2019</v>
      </c>
      <c r="AG15" s="20">
        <v>2020</v>
      </c>
      <c r="AH15" s="20">
        <v>2021</v>
      </c>
      <c r="AI15" s="20">
        <v>2022</v>
      </c>
      <c r="AJ15" s="20">
        <v>2023</v>
      </c>
      <c r="AK15" s="20">
        <v>2024</v>
      </c>
      <c r="AL15" s="20">
        <v>2025</v>
      </c>
    </row>
    <row r="16" spans="1:52" ht="14">
      <c r="B16" s="18" t="s">
        <v>209</v>
      </c>
      <c r="C16" s="200">
        <f t="shared" ref="C16:C22" si="2">C5/(44/12)</f>
        <v>0.22024160915838015</v>
      </c>
      <c r="D16" s="200">
        <f t="shared" ref="D16:R16" si="3">D5/(44/12)</f>
        <v>0.22246546307247356</v>
      </c>
      <c r="E16" s="200">
        <f t="shared" si="3"/>
        <v>0.22487338181834701</v>
      </c>
      <c r="F16" s="200">
        <f t="shared" si="3"/>
        <v>0.22709237066741317</v>
      </c>
      <c r="G16" s="200">
        <f t="shared" si="3"/>
        <v>0.22907312516619485</v>
      </c>
      <c r="H16" s="200">
        <f t="shared" si="3"/>
        <v>0.2309163117787924</v>
      </c>
      <c r="I16" s="200">
        <f t="shared" si="3"/>
        <v>0.23271542436355455</v>
      </c>
      <c r="J16" s="200">
        <f t="shared" si="3"/>
        <v>0.23432528014990683</v>
      </c>
      <c r="K16" s="200">
        <f t="shared" si="3"/>
        <v>0.23598155596383091</v>
      </c>
      <c r="L16" s="200">
        <f t="shared" si="3"/>
        <v>0.23765784969353887</v>
      </c>
      <c r="M16" s="200">
        <f t="shared" si="3"/>
        <v>0.23910277400661725</v>
      </c>
      <c r="N16" s="200">
        <f t="shared" si="3"/>
        <v>0.24014662851229526</v>
      </c>
      <c r="O16" s="200">
        <f t="shared" si="3"/>
        <v>0.24086025471081074</v>
      </c>
      <c r="P16" s="200">
        <f t="shared" si="3"/>
        <v>0.24144579316961798</v>
      </c>
      <c r="Q16" s="200">
        <f t="shared" si="3"/>
        <v>0.24209511589994784</v>
      </c>
      <c r="R16" s="200">
        <f t="shared" si="3"/>
        <v>0.24248220585645985</v>
      </c>
      <c r="S16" s="200">
        <f t="shared" ref="S16:AG16" si="4">S5/(44/12)</f>
        <v>0.24313700899601012</v>
      </c>
      <c r="T16" s="200">
        <f t="shared" si="4"/>
        <v>0.24413523188386374</v>
      </c>
      <c r="U16" s="200">
        <f t="shared" si="4"/>
        <v>0.24511924416675659</v>
      </c>
      <c r="V16" s="200">
        <f t="shared" si="4"/>
        <v>0.24607571979700532</v>
      </c>
      <c r="W16" s="200">
        <f t="shared" si="4"/>
        <v>0.24691733758769885</v>
      </c>
      <c r="X16" s="200">
        <f t="shared" si="4"/>
        <v>0.24744111087311735</v>
      </c>
      <c r="Y16" s="200">
        <f t="shared" si="4"/>
        <v>0.24773428392214769</v>
      </c>
      <c r="Z16" s="200">
        <f t="shared" si="4"/>
        <v>0.24797944089460533</v>
      </c>
      <c r="AA16" s="200">
        <f t="shared" si="4"/>
        <v>0.24777395439310071</v>
      </c>
      <c r="AB16" s="200">
        <f t="shared" si="4"/>
        <v>0.24728346738263116</v>
      </c>
      <c r="AC16" s="200">
        <f t="shared" si="4"/>
        <v>0.24655513061199794</v>
      </c>
      <c r="AD16" s="200">
        <f t="shared" si="4"/>
        <v>0.24575102958758127</v>
      </c>
      <c r="AE16" s="200">
        <f t="shared" si="4"/>
        <v>0.2446894070183257</v>
      </c>
      <c r="AF16" s="200">
        <f t="shared" si="4"/>
        <v>0.24358047986422079</v>
      </c>
      <c r="AG16" s="200">
        <f t="shared" si="4"/>
        <v>0.24205198411790826</v>
      </c>
      <c r="AH16" s="200">
        <f t="shared" ref="AH16:AL16" si="5">AH5/(44/12)</f>
        <v>0</v>
      </c>
      <c r="AI16" s="200">
        <f t="shared" si="5"/>
        <v>0</v>
      </c>
      <c r="AJ16" s="200">
        <f t="shared" si="5"/>
        <v>0</v>
      </c>
      <c r="AK16" s="200">
        <f t="shared" si="5"/>
        <v>0</v>
      </c>
      <c r="AL16" s="200">
        <f t="shared" si="5"/>
        <v>0</v>
      </c>
    </row>
    <row r="17" spans="2:38" ht="14">
      <c r="B17" s="18" t="s">
        <v>216</v>
      </c>
      <c r="C17" s="200">
        <f t="shared" si="2"/>
        <v>8.1212724351879095E-2</v>
      </c>
      <c r="D17" s="200">
        <f t="shared" ref="D17:R17" si="6">D6/(44/12)</f>
        <v>8.270462135124948E-2</v>
      </c>
      <c r="E17" s="200">
        <f t="shared" si="6"/>
        <v>8.4278935353578888E-2</v>
      </c>
      <c r="F17" s="200">
        <f t="shared" si="6"/>
        <v>8.5110576769955287E-2</v>
      </c>
      <c r="G17" s="200">
        <f t="shared" si="6"/>
        <v>8.7236572565834683E-2</v>
      </c>
      <c r="H17" s="200">
        <f t="shared" si="6"/>
        <v>8.7241115519035586E-2</v>
      </c>
      <c r="I17" s="200">
        <f t="shared" si="6"/>
        <v>8.8623647972460529E-2</v>
      </c>
      <c r="J17" s="200">
        <f t="shared" si="6"/>
        <v>8.8529037542275049E-2</v>
      </c>
      <c r="K17" s="200">
        <f t="shared" si="6"/>
        <v>8.986746968288753E-2</v>
      </c>
      <c r="L17" s="200">
        <f t="shared" si="6"/>
        <v>9.1941336770066384E-2</v>
      </c>
      <c r="M17" s="200">
        <f t="shared" si="6"/>
        <v>9.2500326397580518E-2</v>
      </c>
      <c r="N17" s="200">
        <f t="shared" si="6"/>
        <v>9.1453629793779898E-2</v>
      </c>
      <c r="O17" s="200">
        <f t="shared" si="6"/>
        <v>9.2452814400070929E-2</v>
      </c>
      <c r="P17" s="200">
        <f t="shared" si="6"/>
        <v>9.3406756857175949E-2</v>
      </c>
      <c r="Q17" s="200">
        <f t="shared" si="6"/>
        <v>9.4389104557816114E-2</v>
      </c>
      <c r="R17" s="200">
        <f t="shared" si="6"/>
        <v>9.3075390957646692E-2</v>
      </c>
      <c r="S17" s="200">
        <f t="shared" ref="S17:AG17" si="7">S6/(44/12)</f>
        <v>9.4061027877660616E-2</v>
      </c>
      <c r="T17" s="200">
        <f t="shared" si="7"/>
        <v>9.3709895428687601E-2</v>
      </c>
      <c r="U17" s="200">
        <f t="shared" si="7"/>
        <v>9.2607040756722658E-2</v>
      </c>
      <c r="V17" s="200">
        <f t="shared" si="7"/>
        <v>9.2225231430948962E-2</v>
      </c>
      <c r="W17" s="200">
        <f t="shared" si="7"/>
        <v>9.2540656274924374E-2</v>
      </c>
      <c r="X17" s="200">
        <f t="shared" si="7"/>
        <v>9.0873831824587817E-2</v>
      </c>
      <c r="Y17" s="200">
        <f t="shared" si="7"/>
        <v>9.1839455941402234E-2</v>
      </c>
      <c r="Z17" s="200">
        <f t="shared" si="7"/>
        <v>9.1865524541928215E-2</v>
      </c>
      <c r="AA17" s="200">
        <f t="shared" si="7"/>
        <v>9.2955111244645561E-2</v>
      </c>
      <c r="AB17" s="200">
        <f t="shared" si="7"/>
        <v>9.3740602042833965E-2</v>
      </c>
      <c r="AC17" s="200">
        <f t="shared" si="7"/>
        <v>9.3770803571906869E-2</v>
      </c>
      <c r="AD17" s="200">
        <f t="shared" si="7"/>
        <v>9.3871385348885755E-2</v>
      </c>
      <c r="AE17" s="200">
        <f t="shared" si="7"/>
        <v>9.3870514304299199E-2</v>
      </c>
      <c r="AF17" s="200">
        <f t="shared" si="7"/>
        <v>9.2402158947594348E-2</v>
      </c>
      <c r="AG17" s="200">
        <f t="shared" si="7"/>
        <v>9.1858007704209599E-2</v>
      </c>
      <c r="AH17" s="200">
        <f t="shared" ref="AH17:AL17" si="8">AH6/(44/12)</f>
        <v>0</v>
      </c>
      <c r="AI17" s="200">
        <f t="shared" si="8"/>
        <v>0</v>
      </c>
      <c r="AJ17" s="200">
        <f t="shared" si="8"/>
        <v>0</v>
      </c>
      <c r="AK17" s="200">
        <f t="shared" si="8"/>
        <v>0</v>
      </c>
      <c r="AL17" s="200">
        <f t="shared" si="8"/>
        <v>0</v>
      </c>
    </row>
    <row r="18" spans="2:38" ht="14">
      <c r="B18" s="18" t="s">
        <v>211</v>
      </c>
      <c r="C18" s="200">
        <f t="shared" si="2"/>
        <v>2.2875341470127999E-2</v>
      </c>
      <c r="D18" s="200">
        <f t="shared" ref="D18:R18" si="9">D7/(44/12)</f>
        <v>2.1878467521623996E-2</v>
      </c>
      <c r="E18" s="200">
        <f t="shared" si="9"/>
        <v>2.2083025685616001E-2</v>
      </c>
      <c r="F18" s="200">
        <f t="shared" si="9"/>
        <v>2.0877891162911999E-2</v>
      </c>
      <c r="G18" s="200">
        <f t="shared" si="9"/>
        <v>2.3837968124207999E-2</v>
      </c>
      <c r="H18" s="200">
        <f t="shared" si="9"/>
        <v>2.4142491363816007E-2</v>
      </c>
      <c r="I18" s="200">
        <f t="shared" si="9"/>
        <v>2.2494918821256003E-2</v>
      </c>
      <c r="J18" s="200">
        <f t="shared" si="9"/>
        <v>2.2156148287223999E-2</v>
      </c>
      <c r="K18" s="200">
        <f t="shared" si="9"/>
        <v>2.3794464804263997E-2</v>
      </c>
      <c r="L18" s="200">
        <f t="shared" si="9"/>
        <v>2.4122128107671996E-2</v>
      </c>
      <c r="M18" s="200">
        <f t="shared" si="9"/>
        <v>2.4817255624224002E-2</v>
      </c>
      <c r="N18" s="200">
        <f t="shared" si="9"/>
        <v>2.4516434794823995E-2</v>
      </c>
      <c r="O18" s="200">
        <f t="shared" si="9"/>
        <v>2.4301695002760002E-2</v>
      </c>
      <c r="P18" s="200">
        <f t="shared" si="9"/>
        <v>2.3092858069848E-2</v>
      </c>
      <c r="Q18" s="200">
        <f t="shared" si="9"/>
        <v>2.4502550756543999E-2</v>
      </c>
      <c r="R18" s="200">
        <f t="shared" si="9"/>
        <v>2.4768198688968002E-2</v>
      </c>
      <c r="S18" s="200">
        <f t="shared" ref="S18:AG18" si="10">S7/(44/12)</f>
        <v>2.5337444258448003E-2</v>
      </c>
      <c r="T18" s="200">
        <f t="shared" si="10"/>
        <v>2.6486117025480004E-2</v>
      </c>
      <c r="U18" s="200">
        <f t="shared" si="10"/>
        <v>2.8040203710288005E-2</v>
      </c>
      <c r="V18" s="200">
        <f t="shared" si="10"/>
        <v>2.6163081734832002E-2</v>
      </c>
      <c r="W18" s="200">
        <f t="shared" si="10"/>
        <v>2.5134737299559999E-2</v>
      </c>
      <c r="X18" s="200">
        <f t="shared" si="10"/>
        <v>2.5519787961191996E-2</v>
      </c>
      <c r="Y18" s="200">
        <f t="shared" si="10"/>
        <v>2.755055996028E-2</v>
      </c>
      <c r="Z18" s="200">
        <f t="shared" si="10"/>
        <v>2.8192002528816006E-2</v>
      </c>
      <c r="AA18" s="200">
        <f t="shared" si="10"/>
        <v>2.8036501300080001E-2</v>
      </c>
      <c r="AB18" s="200">
        <f t="shared" si="10"/>
        <v>3.0386606179608006E-2</v>
      </c>
      <c r="AC18" s="200">
        <f t="shared" si="10"/>
        <v>3.1213169258544008E-2</v>
      </c>
      <c r="AD18" s="200">
        <f t="shared" si="10"/>
        <v>3.1275184629528004E-2</v>
      </c>
      <c r="AE18" s="200">
        <f t="shared" si="10"/>
        <v>3.1470486767999996E-2</v>
      </c>
      <c r="AF18" s="200">
        <f t="shared" si="10"/>
        <v>3.2235034475951996E-2</v>
      </c>
      <c r="AG18" s="200">
        <f t="shared" si="10"/>
        <v>3.2618233932480006E-2</v>
      </c>
      <c r="AH18" s="200">
        <f t="shared" ref="AH18:AL18" si="11">AH7/(44/12)</f>
        <v>0</v>
      </c>
      <c r="AI18" s="200">
        <f t="shared" si="11"/>
        <v>0</v>
      </c>
      <c r="AJ18" s="200">
        <f t="shared" si="11"/>
        <v>0</v>
      </c>
      <c r="AK18" s="200">
        <f t="shared" si="11"/>
        <v>0</v>
      </c>
      <c r="AL18" s="200">
        <f t="shared" si="11"/>
        <v>0</v>
      </c>
    </row>
    <row r="19" spans="2:38" ht="14">
      <c r="B19" s="23" t="s">
        <v>212</v>
      </c>
      <c r="C19" s="200">
        <f t="shared" si="2"/>
        <v>0</v>
      </c>
      <c r="D19" s="200">
        <f t="shared" ref="D19:R19" si="12">D8/(44/12)</f>
        <v>0</v>
      </c>
      <c r="E19" s="200">
        <f t="shared" si="12"/>
        <v>0</v>
      </c>
      <c r="F19" s="200">
        <f t="shared" si="12"/>
        <v>0</v>
      </c>
      <c r="G19" s="200">
        <f t="shared" si="12"/>
        <v>0</v>
      </c>
      <c r="H19" s="200">
        <f t="shared" si="12"/>
        <v>0</v>
      </c>
      <c r="I19" s="200">
        <f t="shared" si="12"/>
        <v>0</v>
      </c>
      <c r="J19" s="200">
        <f t="shared" si="12"/>
        <v>0</v>
      </c>
      <c r="K19" s="200">
        <f t="shared" si="12"/>
        <v>0</v>
      </c>
      <c r="L19" s="200">
        <f t="shared" si="12"/>
        <v>0</v>
      </c>
      <c r="M19" s="200">
        <f t="shared" si="12"/>
        <v>0</v>
      </c>
      <c r="N19" s="200">
        <f t="shared" si="12"/>
        <v>0</v>
      </c>
      <c r="O19" s="200">
        <f t="shared" si="12"/>
        <v>0</v>
      </c>
      <c r="P19" s="200">
        <f t="shared" si="12"/>
        <v>0</v>
      </c>
      <c r="Q19" s="200">
        <f t="shared" si="12"/>
        <v>0</v>
      </c>
      <c r="R19" s="200">
        <f t="shared" si="12"/>
        <v>0</v>
      </c>
      <c r="S19" s="200">
        <f t="shared" ref="S19:AG19" si="13">S8/(44/12)</f>
        <v>0</v>
      </c>
      <c r="T19" s="200">
        <f t="shared" si="13"/>
        <v>0</v>
      </c>
      <c r="U19" s="200">
        <f t="shared" si="13"/>
        <v>0</v>
      </c>
      <c r="V19" s="200">
        <f t="shared" si="13"/>
        <v>0</v>
      </c>
      <c r="W19" s="200">
        <f t="shared" si="13"/>
        <v>0</v>
      </c>
      <c r="X19" s="200">
        <f t="shared" si="13"/>
        <v>0</v>
      </c>
      <c r="Y19" s="200">
        <f t="shared" si="13"/>
        <v>0</v>
      </c>
      <c r="Z19" s="200">
        <f t="shared" si="13"/>
        <v>0</v>
      </c>
      <c r="AA19" s="200">
        <f t="shared" si="13"/>
        <v>0</v>
      </c>
      <c r="AB19" s="200">
        <f t="shared" si="13"/>
        <v>0</v>
      </c>
      <c r="AC19" s="200">
        <f t="shared" si="13"/>
        <v>0</v>
      </c>
      <c r="AD19" s="200">
        <f t="shared" si="13"/>
        <v>0</v>
      </c>
      <c r="AE19" s="200">
        <f t="shared" si="13"/>
        <v>0</v>
      </c>
      <c r="AF19" s="200">
        <f t="shared" si="13"/>
        <v>0</v>
      </c>
      <c r="AG19" s="200">
        <f t="shared" si="13"/>
        <v>0</v>
      </c>
      <c r="AH19" s="200">
        <f t="shared" ref="AH19:AL19" si="14">AH8/(44/12)</f>
        <v>0</v>
      </c>
      <c r="AI19" s="200">
        <f t="shared" si="14"/>
        <v>0</v>
      </c>
      <c r="AJ19" s="200">
        <f t="shared" si="14"/>
        <v>0</v>
      </c>
      <c r="AK19" s="200">
        <f t="shared" si="14"/>
        <v>0</v>
      </c>
      <c r="AL19" s="200">
        <f t="shared" si="14"/>
        <v>0</v>
      </c>
    </row>
    <row r="20" spans="2:38" ht="14">
      <c r="B20" s="23" t="s">
        <v>213</v>
      </c>
      <c r="C20" s="200">
        <f t="shared" si="2"/>
        <v>2.2875341470127999E-2</v>
      </c>
      <c r="D20" s="200">
        <f t="shared" ref="D20:R20" si="15">D9/(44/12)</f>
        <v>2.1878467521623996E-2</v>
      </c>
      <c r="E20" s="200">
        <f t="shared" si="15"/>
        <v>2.2083025685616001E-2</v>
      </c>
      <c r="F20" s="200">
        <f t="shared" si="15"/>
        <v>2.0877891162911999E-2</v>
      </c>
      <c r="G20" s="200">
        <f t="shared" si="15"/>
        <v>2.3837968124207999E-2</v>
      </c>
      <c r="H20" s="200">
        <f t="shared" si="15"/>
        <v>2.4142491363816007E-2</v>
      </c>
      <c r="I20" s="200">
        <f t="shared" si="15"/>
        <v>2.2494918821256003E-2</v>
      </c>
      <c r="J20" s="200">
        <f t="shared" si="15"/>
        <v>2.2156148287223999E-2</v>
      </c>
      <c r="K20" s="200">
        <f t="shared" si="15"/>
        <v>2.3794464804263997E-2</v>
      </c>
      <c r="L20" s="200">
        <f t="shared" si="15"/>
        <v>2.4122128107671996E-2</v>
      </c>
      <c r="M20" s="200">
        <f t="shared" si="15"/>
        <v>2.4817255624224002E-2</v>
      </c>
      <c r="N20" s="200">
        <f t="shared" si="15"/>
        <v>2.4516434794823995E-2</v>
      </c>
      <c r="O20" s="200">
        <f t="shared" si="15"/>
        <v>2.4301695002760002E-2</v>
      </c>
      <c r="P20" s="200">
        <f t="shared" si="15"/>
        <v>2.3092858069848E-2</v>
      </c>
      <c r="Q20" s="200">
        <f t="shared" si="15"/>
        <v>2.4502550756543999E-2</v>
      </c>
      <c r="R20" s="200">
        <f t="shared" si="15"/>
        <v>2.4768198688968002E-2</v>
      </c>
      <c r="S20" s="200">
        <f t="shared" ref="S20:AG20" si="16">S9/(44/12)</f>
        <v>2.5337444258448003E-2</v>
      </c>
      <c r="T20" s="200">
        <f t="shared" si="16"/>
        <v>2.6486117025480004E-2</v>
      </c>
      <c r="U20" s="200">
        <f t="shared" si="16"/>
        <v>2.8040203710288005E-2</v>
      </c>
      <c r="V20" s="200">
        <f t="shared" si="16"/>
        <v>2.6163081734832002E-2</v>
      </c>
      <c r="W20" s="200">
        <f t="shared" si="16"/>
        <v>2.5134737299559999E-2</v>
      </c>
      <c r="X20" s="200">
        <f t="shared" si="16"/>
        <v>2.5519787961191996E-2</v>
      </c>
      <c r="Y20" s="200">
        <f t="shared" si="16"/>
        <v>2.755055996028E-2</v>
      </c>
      <c r="Z20" s="200">
        <f t="shared" si="16"/>
        <v>2.8192002528816006E-2</v>
      </c>
      <c r="AA20" s="200">
        <f t="shared" si="16"/>
        <v>2.8036501300080001E-2</v>
      </c>
      <c r="AB20" s="200">
        <f t="shared" si="16"/>
        <v>3.0386606179608006E-2</v>
      </c>
      <c r="AC20" s="200">
        <f t="shared" si="16"/>
        <v>3.1213169258544008E-2</v>
      </c>
      <c r="AD20" s="200">
        <f t="shared" si="16"/>
        <v>3.1275184629528004E-2</v>
      </c>
      <c r="AE20" s="200">
        <f t="shared" si="16"/>
        <v>3.1470486767999996E-2</v>
      </c>
      <c r="AF20" s="200">
        <f t="shared" si="16"/>
        <v>3.2235034475951996E-2</v>
      </c>
      <c r="AG20" s="200">
        <f t="shared" si="16"/>
        <v>3.2618233932480006E-2</v>
      </c>
      <c r="AH20" s="200">
        <f t="shared" ref="AH20:AL20" si="17">AH9/(44/12)</f>
        <v>0</v>
      </c>
      <c r="AI20" s="200">
        <f t="shared" si="17"/>
        <v>0</v>
      </c>
      <c r="AJ20" s="200">
        <f t="shared" si="17"/>
        <v>0</v>
      </c>
      <c r="AK20" s="200">
        <f t="shared" si="17"/>
        <v>0</v>
      </c>
      <c r="AL20" s="200">
        <f t="shared" si="17"/>
        <v>0</v>
      </c>
    </row>
    <row r="21" spans="2:38" ht="14">
      <c r="B21" s="23" t="s">
        <v>214</v>
      </c>
      <c r="C21" s="200">
        <f t="shared" si="2"/>
        <v>0</v>
      </c>
      <c r="D21" s="200">
        <f t="shared" ref="D21:R21" si="18">D10/(44/12)</f>
        <v>0</v>
      </c>
      <c r="E21" s="200">
        <f t="shared" si="18"/>
        <v>0</v>
      </c>
      <c r="F21" s="200">
        <f t="shared" si="18"/>
        <v>0</v>
      </c>
      <c r="G21" s="200">
        <f t="shared" si="18"/>
        <v>0</v>
      </c>
      <c r="H21" s="200">
        <f t="shared" si="18"/>
        <v>0</v>
      </c>
      <c r="I21" s="200">
        <f t="shared" si="18"/>
        <v>0</v>
      </c>
      <c r="J21" s="200">
        <f t="shared" si="18"/>
        <v>0</v>
      </c>
      <c r="K21" s="200">
        <f t="shared" si="18"/>
        <v>0</v>
      </c>
      <c r="L21" s="200">
        <f t="shared" si="18"/>
        <v>0</v>
      </c>
      <c r="M21" s="200">
        <f t="shared" si="18"/>
        <v>0</v>
      </c>
      <c r="N21" s="200">
        <f t="shared" si="18"/>
        <v>0</v>
      </c>
      <c r="O21" s="200">
        <f t="shared" si="18"/>
        <v>0</v>
      </c>
      <c r="P21" s="200">
        <f t="shared" si="18"/>
        <v>0</v>
      </c>
      <c r="Q21" s="200">
        <f t="shared" si="18"/>
        <v>0</v>
      </c>
      <c r="R21" s="200">
        <f t="shared" si="18"/>
        <v>0</v>
      </c>
      <c r="S21" s="200">
        <f t="shared" ref="S21:AG21" si="19">S10/(44/12)</f>
        <v>0</v>
      </c>
      <c r="T21" s="200">
        <f t="shared" si="19"/>
        <v>0</v>
      </c>
      <c r="U21" s="200">
        <f t="shared" si="19"/>
        <v>0</v>
      </c>
      <c r="V21" s="200">
        <f t="shared" si="19"/>
        <v>0</v>
      </c>
      <c r="W21" s="200">
        <f t="shared" si="19"/>
        <v>0</v>
      </c>
      <c r="X21" s="200">
        <f t="shared" si="19"/>
        <v>0</v>
      </c>
      <c r="Y21" s="200">
        <f t="shared" si="19"/>
        <v>0</v>
      </c>
      <c r="Z21" s="200">
        <f t="shared" si="19"/>
        <v>0</v>
      </c>
      <c r="AA21" s="200">
        <f t="shared" si="19"/>
        <v>0</v>
      </c>
      <c r="AB21" s="200">
        <f t="shared" si="19"/>
        <v>0</v>
      </c>
      <c r="AC21" s="200">
        <f t="shared" si="19"/>
        <v>0</v>
      </c>
      <c r="AD21" s="200">
        <f t="shared" si="19"/>
        <v>0</v>
      </c>
      <c r="AE21" s="200">
        <f t="shared" si="19"/>
        <v>0</v>
      </c>
      <c r="AF21" s="200">
        <f t="shared" si="19"/>
        <v>0</v>
      </c>
      <c r="AG21" s="200">
        <f t="shared" si="19"/>
        <v>0</v>
      </c>
      <c r="AH21" s="200">
        <f t="shared" ref="AH21:AL21" si="20">AH10/(44/12)</f>
        <v>0</v>
      </c>
      <c r="AI21" s="200">
        <f t="shared" si="20"/>
        <v>0</v>
      </c>
      <c r="AJ21" s="200">
        <f t="shared" si="20"/>
        <v>0</v>
      </c>
      <c r="AK21" s="200">
        <f t="shared" si="20"/>
        <v>0</v>
      </c>
      <c r="AL21" s="200">
        <f t="shared" si="20"/>
        <v>0</v>
      </c>
    </row>
    <row r="22" spans="2:38" ht="14.5" thickBot="1">
      <c r="B22" s="23" t="s">
        <v>215</v>
      </c>
      <c r="C22" s="200">
        <f t="shared" si="2"/>
        <v>0</v>
      </c>
      <c r="D22" s="200">
        <f t="shared" ref="D22:R22" si="21">D11/(44/12)</f>
        <v>0</v>
      </c>
      <c r="E22" s="200">
        <f t="shared" si="21"/>
        <v>0</v>
      </c>
      <c r="F22" s="200">
        <f t="shared" si="21"/>
        <v>0</v>
      </c>
      <c r="G22" s="200">
        <f t="shared" si="21"/>
        <v>0</v>
      </c>
      <c r="H22" s="200">
        <f t="shared" si="21"/>
        <v>0</v>
      </c>
      <c r="I22" s="200">
        <f t="shared" si="21"/>
        <v>0</v>
      </c>
      <c r="J22" s="200">
        <f t="shared" si="21"/>
        <v>0</v>
      </c>
      <c r="K22" s="200">
        <f t="shared" si="21"/>
        <v>0</v>
      </c>
      <c r="L22" s="200">
        <f t="shared" si="21"/>
        <v>0</v>
      </c>
      <c r="M22" s="200">
        <f t="shared" si="21"/>
        <v>0</v>
      </c>
      <c r="N22" s="200">
        <f t="shared" si="21"/>
        <v>0</v>
      </c>
      <c r="O22" s="200">
        <f t="shared" si="21"/>
        <v>0</v>
      </c>
      <c r="P22" s="200">
        <f t="shared" si="21"/>
        <v>0</v>
      </c>
      <c r="Q22" s="200">
        <f t="shared" si="21"/>
        <v>0</v>
      </c>
      <c r="R22" s="200">
        <f t="shared" si="21"/>
        <v>0</v>
      </c>
      <c r="S22" s="200">
        <f t="shared" ref="S22:AG22" si="22">S11/(44/12)</f>
        <v>0</v>
      </c>
      <c r="T22" s="200">
        <f t="shared" si="22"/>
        <v>0</v>
      </c>
      <c r="U22" s="200">
        <f t="shared" si="22"/>
        <v>0</v>
      </c>
      <c r="V22" s="200">
        <f t="shared" si="22"/>
        <v>0</v>
      </c>
      <c r="W22" s="200">
        <f t="shared" si="22"/>
        <v>0</v>
      </c>
      <c r="X22" s="200">
        <f t="shared" si="22"/>
        <v>0</v>
      </c>
      <c r="Y22" s="200">
        <f t="shared" si="22"/>
        <v>0</v>
      </c>
      <c r="Z22" s="200">
        <f t="shared" si="22"/>
        <v>0</v>
      </c>
      <c r="AA22" s="200">
        <f t="shared" si="22"/>
        <v>0</v>
      </c>
      <c r="AB22" s="200">
        <f t="shared" si="22"/>
        <v>0</v>
      </c>
      <c r="AC22" s="200">
        <f t="shared" si="22"/>
        <v>0</v>
      </c>
      <c r="AD22" s="200">
        <f t="shared" si="22"/>
        <v>0</v>
      </c>
      <c r="AE22" s="200">
        <f t="shared" si="22"/>
        <v>0</v>
      </c>
      <c r="AF22" s="200">
        <f t="shared" si="22"/>
        <v>0</v>
      </c>
      <c r="AG22" s="200">
        <f t="shared" si="22"/>
        <v>0</v>
      </c>
      <c r="AH22" s="200">
        <f t="shared" ref="AH22:AL22" si="23">AH11/(44/12)</f>
        <v>0</v>
      </c>
      <c r="AI22" s="200">
        <f t="shared" si="23"/>
        <v>0</v>
      </c>
      <c r="AJ22" s="200">
        <f t="shared" si="23"/>
        <v>0</v>
      </c>
      <c r="AK22" s="200">
        <f t="shared" si="23"/>
        <v>0</v>
      </c>
      <c r="AL22" s="200">
        <f t="shared" si="23"/>
        <v>0</v>
      </c>
    </row>
    <row r="23" spans="2:38" ht="14.5" thickBot="1">
      <c r="B23" s="150" t="s">
        <v>135</v>
      </c>
      <c r="C23" s="201">
        <f t="shared" ref="C23:R23" si="24">C14/(44/12)</f>
        <v>0.32432967498038717</v>
      </c>
      <c r="D23" s="201">
        <f t="shared" si="24"/>
        <v>0.32704855194534704</v>
      </c>
      <c r="E23" s="201">
        <f t="shared" si="24"/>
        <v>0.33123534285754186</v>
      </c>
      <c r="F23" s="201">
        <f t="shared" si="24"/>
        <v>0.33308083860028043</v>
      </c>
      <c r="G23" s="201">
        <f t="shared" si="24"/>
        <v>0.34014766585623757</v>
      </c>
      <c r="H23" s="201">
        <f t="shared" si="24"/>
        <v>0.342299918661644</v>
      </c>
      <c r="I23" s="201">
        <f t="shared" si="24"/>
        <v>0.34383399115727104</v>
      </c>
      <c r="J23" s="201">
        <f t="shared" si="24"/>
        <v>0.34501046597940588</v>
      </c>
      <c r="K23" s="201">
        <f t="shared" si="24"/>
        <v>0.34964349045098242</v>
      </c>
      <c r="L23" s="201">
        <f t="shared" si="24"/>
        <v>0.35372131457127726</v>
      </c>
      <c r="M23" s="201">
        <f t="shared" si="24"/>
        <v>0.3564203560284217</v>
      </c>
      <c r="N23" s="201">
        <f t="shared" si="24"/>
        <v>0.35611669310089911</v>
      </c>
      <c r="O23" s="201">
        <f t="shared" si="24"/>
        <v>0.35761476411364168</v>
      </c>
      <c r="P23" s="201">
        <f t="shared" si="24"/>
        <v>0.35794540809664194</v>
      </c>
      <c r="Q23" s="201">
        <f t="shared" si="24"/>
        <v>0.36098677121430794</v>
      </c>
      <c r="R23" s="201">
        <f t="shared" si="24"/>
        <v>0.36032579550307453</v>
      </c>
      <c r="S23" s="201">
        <f t="shared" ref="S23:AG23" si="25">S14/(44/12)</f>
        <v>0.36253548113211875</v>
      </c>
      <c r="T23" s="201">
        <f t="shared" si="25"/>
        <v>0.36433124433803132</v>
      </c>
      <c r="U23" s="201">
        <f t="shared" si="25"/>
        <v>0.36576648863376726</v>
      </c>
      <c r="V23" s="201">
        <f t="shared" si="25"/>
        <v>0.36446403296278629</v>
      </c>
      <c r="W23" s="201">
        <f t="shared" si="25"/>
        <v>0.36459273116218321</v>
      </c>
      <c r="X23" s="201">
        <f t="shared" si="25"/>
        <v>0.36383473065889715</v>
      </c>
      <c r="Y23" s="201">
        <f t="shared" si="25"/>
        <v>0.36712429982382988</v>
      </c>
      <c r="Z23" s="201">
        <f t="shared" si="25"/>
        <v>0.36803696796534957</v>
      </c>
      <c r="AA23" s="201">
        <f t="shared" si="25"/>
        <v>0.36876556693782631</v>
      </c>
      <c r="AB23" s="201">
        <f t="shared" si="25"/>
        <v>0.37141067560507307</v>
      </c>
      <c r="AC23" s="201">
        <f t="shared" si="25"/>
        <v>0.37153910344244878</v>
      </c>
      <c r="AD23" s="201">
        <f t="shared" si="25"/>
        <v>0.370897599565995</v>
      </c>
      <c r="AE23" s="201">
        <f t="shared" si="25"/>
        <v>0.37003040809062493</v>
      </c>
      <c r="AF23" s="201">
        <f t="shared" si="25"/>
        <v>0.36821767328776711</v>
      </c>
      <c r="AG23" s="201">
        <f t="shared" si="25"/>
        <v>0.36652822575459787</v>
      </c>
      <c r="AH23" s="201">
        <f t="shared" ref="AH23:AL23" si="26">AH14/(44/12)</f>
        <v>0</v>
      </c>
      <c r="AI23" s="201">
        <f t="shared" si="26"/>
        <v>0</v>
      </c>
      <c r="AJ23" s="201">
        <f t="shared" si="26"/>
        <v>0</v>
      </c>
      <c r="AK23" s="201">
        <f t="shared" si="26"/>
        <v>0</v>
      </c>
      <c r="AL23" s="201">
        <f t="shared" si="26"/>
        <v>0</v>
      </c>
    </row>
    <row r="24" spans="2:38" s="279" customFormat="1" ht="15.5">
      <c r="C24" s="330">
        <v>1</v>
      </c>
      <c r="D24" s="283">
        <f>IF(D4&lt;=$B25,C24+1,0)</f>
        <v>2</v>
      </c>
      <c r="E24" s="283">
        <f t="shared" ref="E24:AL24" si="27">IF(E4&lt;=$B25,D24+1,0)</f>
        <v>3</v>
      </c>
      <c r="F24" s="283">
        <f t="shared" si="27"/>
        <v>4</v>
      </c>
      <c r="G24" s="283">
        <f t="shared" si="27"/>
        <v>5</v>
      </c>
      <c r="H24" s="283">
        <f t="shared" si="27"/>
        <v>6</v>
      </c>
      <c r="I24" s="283">
        <f t="shared" si="27"/>
        <v>7</v>
      </c>
      <c r="J24" s="283">
        <f t="shared" si="27"/>
        <v>8</v>
      </c>
      <c r="K24" s="283">
        <f t="shared" si="27"/>
        <v>9</v>
      </c>
      <c r="L24" s="283">
        <f t="shared" si="27"/>
        <v>10</v>
      </c>
      <c r="M24" s="283">
        <f t="shared" si="27"/>
        <v>11</v>
      </c>
      <c r="N24" s="283">
        <f t="shared" si="27"/>
        <v>12</v>
      </c>
      <c r="O24" s="283">
        <f t="shared" si="27"/>
        <v>13</v>
      </c>
      <c r="P24" s="283">
        <f t="shared" si="27"/>
        <v>14</v>
      </c>
      <c r="Q24" s="283">
        <f t="shared" si="27"/>
        <v>15</v>
      </c>
      <c r="R24" s="283">
        <f t="shared" si="27"/>
        <v>16</v>
      </c>
      <c r="S24" s="283">
        <f t="shared" si="27"/>
        <v>17</v>
      </c>
      <c r="T24" s="283">
        <f t="shared" si="27"/>
        <v>18</v>
      </c>
      <c r="U24" s="283">
        <f t="shared" si="27"/>
        <v>19</v>
      </c>
      <c r="V24" s="283">
        <f t="shared" si="27"/>
        <v>20</v>
      </c>
      <c r="W24" s="283">
        <f t="shared" si="27"/>
        <v>21</v>
      </c>
      <c r="X24" s="283">
        <f t="shared" si="27"/>
        <v>22</v>
      </c>
      <c r="Y24" s="283">
        <f t="shared" si="27"/>
        <v>23</v>
      </c>
      <c r="Z24" s="283">
        <f t="shared" si="27"/>
        <v>24</v>
      </c>
      <c r="AA24" s="283">
        <f t="shared" si="27"/>
        <v>25</v>
      </c>
      <c r="AB24" s="283">
        <f t="shared" si="27"/>
        <v>26</v>
      </c>
      <c r="AC24" s="283">
        <f t="shared" si="27"/>
        <v>27</v>
      </c>
      <c r="AD24" s="283">
        <f t="shared" si="27"/>
        <v>28</v>
      </c>
      <c r="AE24" s="283">
        <f t="shared" si="27"/>
        <v>29</v>
      </c>
      <c r="AF24" s="283">
        <f t="shared" si="27"/>
        <v>30</v>
      </c>
      <c r="AG24" s="283">
        <f t="shared" si="27"/>
        <v>31</v>
      </c>
      <c r="AH24" s="283">
        <f t="shared" si="27"/>
        <v>0</v>
      </c>
      <c r="AI24" s="283">
        <f t="shared" si="27"/>
        <v>0</v>
      </c>
      <c r="AJ24" s="283">
        <f t="shared" si="27"/>
        <v>0</v>
      </c>
      <c r="AK24" s="283">
        <f t="shared" si="27"/>
        <v>0</v>
      </c>
      <c r="AL24" s="283">
        <f t="shared" si="27"/>
        <v>0</v>
      </c>
    </row>
    <row r="25" spans="2:38" s="279" customFormat="1">
      <c r="B25" s="279">
        <f>MAX(C25:AL25)</f>
        <v>2020</v>
      </c>
      <c r="C25" s="279">
        <f>1990</f>
        <v>1990</v>
      </c>
      <c r="D25" s="279">
        <f>IF(D23=0,0,D15)</f>
        <v>1991</v>
      </c>
      <c r="E25" s="279">
        <f t="shared" ref="E25:AL25" si="28">IF(E23=0,0,E15)</f>
        <v>1992</v>
      </c>
      <c r="F25" s="279">
        <f t="shared" si="28"/>
        <v>1993</v>
      </c>
      <c r="G25" s="279">
        <f t="shared" si="28"/>
        <v>1994</v>
      </c>
      <c r="H25" s="279">
        <f t="shared" si="28"/>
        <v>1995</v>
      </c>
      <c r="I25" s="279">
        <f t="shared" si="28"/>
        <v>1996</v>
      </c>
      <c r="J25" s="279">
        <f t="shared" si="28"/>
        <v>1997</v>
      </c>
      <c r="K25" s="279">
        <f t="shared" si="28"/>
        <v>1998</v>
      </c>
      <c r="L25" s="279">
        <f t="shared" si="28"/>
        <v>1999</v>
      </c>
      <c r="M25" s="279">
        <f t="shared" si="28"/>
        <v>2000</v>
      </c>
      <c r="N25" s="279">
        <f t="shared" si="28"/>
        <v>2001</v>
      </c>
      <c r="O25" s="279">
        <f t="shared" si="28"/>
        <v>2002</v>
      </c>
      <c r="P25" s="279">
        <f t="shared" si="28"/>
        <v>2003</v>
      </c>
      <c r="Q25" s="279">
        <f t="shared" si="28"/>
        <v>2004</v>
      </c>
      <c r="R25" s="279">
        <f t="shared" si="28"/>
        <v>2005</v>
      </c>
      <c r="S25" s="279">
        <f t="shared" si="28"/>
        <v>2006</v>
      </c>
      <c r="T25" s="279">
        <f t="shared" si="28"/>
        <v>2007</v>
      </c>
      <c r="U25" s="279">
        <f t="shared" si="28"/>
        <v>2008</v>
      </c>
      <c r="V25" s="279">
        <f t="shared" si="28"/>
        <v>2009</v>
      </c>
      <c r="W25" s="279">
        <f t="shared" si="28"/>
        <v>2010</v>
      </c>
      <c r="X25" s="279">
        <f t="shared" si="28"/>
        <v>2011</v>
      </c>
      <c r="Y25" s="279">
        <f t="shared" si="28"/>
        <v>2012</v>
      </c>
      <c r="Z25" s="279">
        <f t="shared" si="28"/>
        <v>2013</v>
      </c>
      <c r="AA25" s="279">
        <f t="shared" si="28"/>
        <v>2014</v>
      </c>
      <c r="AB25" s="279">
        <f t="shared" si="28"/>
        <v>2015</v>
      </c>
      <c r="AC25" s="279">
        <f t="shared" si="28"/>
        <v>2016</v>
      </c>
      <c r="AD25" s="279">
        <f t="shared" si="28"/>
        <v>2017</v>
      </c>
      <c r="AE25" s="279">
        <f t="shared" si="28"/>
        <v>2018</v>
      </c>
      <c r="AF25" s="279">
        <f t="shared" si="28"/>
        <v>2019</v>
      </c>
      <c r="AG25" s="279">
        <f t="shared" si="28"/>
        <v>2020</v>
      </c>
      <c r="AH25" s="279">
        <f t="shared" si="28"/>
        <v>0</v>
      </c>
      <c r="AI25" s="279">
        <f t="shared" si="28"/>
        <v>0</v>
      </c>
      <c r="AJ25" s="279">
        <f t="shared" si="28"/>
        <v>0</v>
      </c>
      <c r="AK25" s="279">
        <f t="shared" si="28"/>
        <v>0</v>
      </c>
      <c r="AL25" s="279">
        <f t="shared" si="28"/>
        <v>0</v>
      </c>
    </row>
    <row r="26" spans="2:38">
      <c r="AA26" s="296" t="str">
        <f>"Total Wastewater Emissions, 1990-"&amp;B25</f>
        <v>Total Wastewater Emissions, 1990-2020</v>
      </c>
      <c r="AB26" s="291"/>
      <c r="AC26" s="291"/>
      <c r="AD26" s="291"/>
      <c r="AE26" s="291"/>
    </row>
    <row r="27" spans="2:38">
      <c r="AA27" s="296" t="str">
        <f>"Methane Emissions from Industrial Wastewater, 1990-"&amp;B25</f>
        <v>Methane Emissions from Industrial Wastewater, 1990-2020</v>
      </c>
      <c r="AB27" s="291"/>
      <c r="AC27" s="291"/>
      <c r="AD27" s="291"/>
      <c r="AE27" s="291"/>
    </row>
    <row r="28" spans="2:38">
      <c r="AA28" s="308"/>
      <c r="AB28" s="291"/>
      <c r="AC28" s="291"/>
      <c r="AD28" s="291"/>
      <c r="AE28" s="291"/>
    </row>
    <row r="29" spans="2:38">
      <c r="AA29" s="291"/>
      <c r="AB29" s="291"/>
      <c r="AC29" s="291"/>
      <c r="AD29" s="291"/>
      <c r="AE29" s="291"/>
    </row>
    <row r="30" spans="2:38">
      <c r="AA30" s="291"/>
      <c r="AB30" s="291"/>
      <c r="AC30" s="291"/>
      <c r="AD30" s="291"/>
      <c r="AE30" s="291"/>
    </row>
    <row r="31" spans="2:38">
      <c r="AA31" s="291"/>
      <c r="AB31" s="291"/>
      <c r="AC31" s="291"/>
      <c r="AD31" s="291"/>
      <c r="AE31" s="291"/>
    </row>
    <row r="32" spans="2:38">
      <c r="AA32" s="291"/>
      <c r="AB32" s="291"/>
      <c r="AC32" s="291"/>
      <c r="AD32" s="291"/>
      <c r="AE32" s="291"/>
    </row>
    <row r="33" spans="27:31">
      <c r="AA33" s="291"/>
      <c r="AB33" s="291"/>
      <c r="AC33" s="291"/>
      <c r="AD33" s="291"/>
      <c r="AE33" s="291"/>
    </row>
    <row r="34" spans="27:31">
      <c r="AA34" s="291"/>
      <c r="AB34" s="291"/>
      <c r="AC34" s="291"/>
      <c r="AD34" s="291"/>
      <c r="AE34" s="291"/>
    </row>
    <row r="35" spans="27:31">
      <c r="AA35" s="291"/>
      <c r="AB35" s="291"/>
      <c r="AC35" s="291"/>
      <c r="AD35" s="291"/>
      <c r="AE35" s="291"/>
    </row>
  </sheetData>
  <sheetProtection algorithmName="SHA-512" hashValue="Gx/pa+x97mAudVG/9+bg4Twekbbn9I2HLqIEdclgCxc3w9VJXt4AlE/ZsddAw8sALqCBvCAmHnX/uaXn1ma+Cw==" saltValue="/+tJsnh0Q3rQhkF8e5F58A==" spinCount="100000" sheet="1" objects="1" scenarios="1"/>
  <protectedRanges>
    <protectedRange sqref="C12:AL13" name="AES Waste"/>
  </protectedRanges>
  <mergeCells count="1">
    <mergeCell ref="A1:H1"/>
  </mergeCells>
  <phoneticPr fontId="0" type="noConversion"/>
  <pageMargins left="0.75" right="0.75" top="1" bottom="1" header="0.5" footer="0.5"/>
  <pageSetup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1"/>
  <dimension ref="A1:AL178"/>
  <sheetViews>
    <sheetView showGridLines="0" showRowColHeaders="0" workbookViewId="0">
      <selection activeCell="B4" sqref="B4"/>
    </sheetView>
  </sheetViews>
  <sheetFormatPr defaultColWidth="9.1796875" defaultRowHeight="15.5"/>
  <cols>
    <col min="1" max="1" width="8.81640625" style="121" customWidth="1"/>
    <col min="2" max="2" width="32.26953125" style="121" customWidth="1"/>
    <col min="3" max="3" width="12" style="121" bestFit="1" customWidth="1"/>
    <col min="4" max="4" width="11" style="121" bestFit="1" customWidth="1"/>
    <col min="5" max="5" width="12" style="121" bestFit="1" customWidth="1"/>
    <col min="6" max="6" width="10.26953125" style="121" bestFit="1" customWidth="1"/>
    <col min="7" max="7" width="10.54296875" style="121" bestFit="1" customWidth="1"/>
    <col min="8" max="8" width="10.26953125" style="121" bestFit="1" customWidth="1"/>
    <col min="9" max="10" width="10.54296875" style="121" bestFit="1" customWidth="1"/>
    <col min="11" max="12" width="10.26953125" style="121" bestFit="1" customWidth="1"/>
    <col min="13" max="13" width="11" style="121" bestFit="1" customWidth="1"/>
    <col min="14" max="18" width="9.54296875" style="121" customWidth="1"/>
    <col min="19" max="19" width="8.81640625" customWidth="1"/>
    <col min="20" max="16384" width="9.1796875" style="121"/>
  </cols>
  <sheetData>
    <row r="1" spans="1:38" ht="41.25" customHeight="1">
      <c r="A1" s="426" t="str">
        <f>"Summary of GHG Emissions by Gas in "&amp;StateName&amp;" ("&amp;Units&amp;")"</f>
        <v>Summary of GHG Emissions by Gas in Illinois (MMTCO2E)</v>
      </c>
      <c r="B1" s="426"/>
      <c r="C1" s="426"/>
      <c r="D1" s="426"/>
      <c r="E1" s="426"/>
      <c r="F1" s="143"/>
    </row>
    <row r="4" spans="1:38" ht="16" thickBot="1">
      <c r="A4" s="122"/>
      <c r="B4" s="123" t="s">
        <v>233</v>
      </c>
      <c r="C4" s="123">
        <v>1990</v>
      </c>
      <c r="D4" s="123">
        <v>1991</v>
      </c>
      <c r="E4" s="123">
        <v>1992</v>
      </c>
      <c r="F4" s="123">
        <v>1993</v>
      </c>
      <c r="G4" s="123">
        <v>1994</v>
      </c>
      <c r="H4" s="123">
        <v>1995</v>
      </c>
      <c r="I4" s="123">
        <v>1996</v>
      </c>
      <c r="J4" s="123">
        <v>1997</v>
      </c>
      <c r="K4" s="123">
        <v>1998</v>
      </c>
      <c r="L4" s="123">
        <v>1999</v>
      </c>
      <c r="M4" s="123">
        <v>2000</v>
      </c>
      <c r="N4" s="123">
        <v>2001</v>
      </c>
      <c r="O4" s="123">
        <v>2002</v>
      </c>
      <c r="P4" s="123">
        <v>2003</v>
      </c>
      <c r="Q4" s="123">
        <v>2004</v>
      </c>
      <c r="R4" s="123">
        <v>2005</v>
      </c>
      <c r="S4" s="123">
        <v>2006</v>
      </c>
      <c r="T4" s="123">
        <v>2007</v>
      </c>
      <c r="U4" s="123">
        <v>2008</v>
      </c>
      <c r="V4" s="123">
        <v>2009</v>
      </c>
      <c r="W4" s="123">
        <v>2010</v>
      </c>
      <c r="X4" s="123">
        <v>2011</v>
      </c>
      <c r="Y4" s="123">
        <v>2012</v>
      </c>
      <c r="Z4" s="123">
        <v>2013</v>
      </c>
      <c r="AA4" s="123">
        <v>2014</v>
      </c>
      <c r="AB4" s="123">
        <v>2015</v>
      </c>
      <c r="AC4" s="123">
        <v>2016</v>
      </c>
      <c r="AD4" s="123">
        <v>2017</v>
      </c>
      <c r="AE4" s="123">
        <v>2018</v>
      </c>
      <c r="AF4" s="123">
        <v>2019</v>
      </c>
      <c r="AG4" s="123">
        <v>2020</v>
      </c>
      <c r="AH4" s="123">
        <v>2021</v>
      </c>
      <c r="AI4" s="123">
        <v>2022</v>
      </c>
      <c r="AJ4" s="123">
        <v>2023</v>
      </c>
      <c r="AK4" s="123">
        <v>2024</v>
      </c>
      <c r="AL4" s="123">
        <v>2025</v>
      </c>
    </row>
    <row r="5" spans="1:38">
      <c r="B5" s="127" t="s">
        <v>234</v>
      </c>
      <c r="C5" s="207">
        <f t="shared" ref="C5:AG5" si="0">IF(C11&lt;0,SUM(C7:C10),SUM(C7:C11))</f>
        <v>195.50005716668815</v>
      </c>
      <c r="D5" s="207">
        <f t="shared" si="0"/>
        <v>194.69455611062193</v>
      </c>
      <c r="E5" s="207">
        <f t="shared" si="0"/>
        <v>191.27438341701807</v>
      </c>
      <c r="F5" s="207">
        <f t="shared" si="0"/>
        <v>206.78504022344228</v>
      </c>
      <c r="G5" s="207">
        <f t="shared" si="0"/>
        <v>208.54734478378677</v>
      </c>
      <c r="H5" s="207">
        <f t="shared" si="0"/>
        <v>212.57157472831378</v>
      </c>
      <c r="I5" s="207">
        <f t="shared" si="0"/>
        <v>226.83318257847313</v>
      </c>
      <c r="J5" s="207">
        <f t="shared" si="0"/>
        <v>235.75749517688888</v>
      </c>
      <c r="K5" s="207">
        <f t="shared" si="0"/>
        <v>227.01491954785266</v>
      </c>
      <c r="L5" s="207">
        <f t="shared" si="0"/>
        <v>237.54189584625789</v>
      </c>
      <c r="M5" s="207">
        <f t="shared" si="0"/>
        <v>243.40207202268584</v>
      </c>
      <c r="N5" s="207">
        <f t="shared" si="0"/>
        <v>235.4058732946537</v>
      </c>
      <c r="O5" s="207">
        <f t="shared" si="0"/>
        <v>240.21232205894179</v>
      </c>
      <c r="P5" s="207">
        <f t="shared" si="0"/>
        <v>244.38274187201586</v>
      </c>
      <c r="Q5" s="207">
        <f t="shared" si="0"/>
        <v>248.47092359346667</v>
      </c>
      <c r="R5" s="207">
        <f t="shared" si="0"/>
        <v>253.67619923659032</v>
      </c>
      <c r="S5" s="207">
        <f t="shared" si="0"/>
        <v>245.89294191566481</v>
      </c>
      <c r="T5" s="207">
        <f t="shared" si="0"/>
        <v>252.29275642366818</v>
      </c>
      <c r="U5" s="207">
        <f t="shared" si="0"/>
        <v>250.65544710217188</v>
      </c>
      <c r="V5" s="207">
        <f t="shared" si="0"/>
        <v>232.34344149335536</v>
      </c>
      <c r="W5" s="207">
        <f t="shared" si="0"/>
        <v>238.7599116310995</v>
      </c>
      <c r="X5" s="207">
        <f t="shared" si="0"/>
        <v>235.32733255979278</v>
      </c>
      <c r="Y5" s="207">
        <f t="shared" si="0"/>
        <v>221.95519375009638</v>
      </c>
      <c r="Z5" s="207">
        <f t="shared" si="0"/>
        <v>236.20454206572268</v>
      </c>
      <c r="AA5" s="207">
        <f t="shared" si="0"/>
        <v>239.23467640283135</v>
      </c>
      <c r="AB5" s="207">
        <f t="shared" si="0"/>
        <v>223.33016968709853</v>
      </c>
      <c r="AC5" s="207">
        <f t="shared" si="0"/>
        <v>211.17893437613179</v>
      </c>
      <c r="AD5" s="207">
        <f t="shared" si="0"/>
        <v>208.93754429578001</v>
      </c>
      <c r="AE5" s="207">
        <f t="shared" si="0"/>
        <v>215.54370377293691</v>
      </c>
      <c r="AF5" s="207">
        <f t="shared" si="0"/>
        <v>206.34852385207014</v>
      </c>
      <c r="AG5" s="207">
        <f t="shared" si="0"/>
        <v>174.90765204441078</v>
      </c>
      <c r="AH5" s="207">
        <f t="shared" ref="AH5:AL5" si="1">IF(AH11&lt;0,SUM(AH7:AH10),SUM(AH7:AH11))</f>
        <v>0.57498368046821979</v>
      </c>
      <c r="AI5" s="207">
        <f t="shared" si="1"/>
        <v>0</v>
      </c>
      <c r="AJ5" s="207">
        <f t="shared" si="1"/>
        <v>0</v>
      </c>
      <c r="AK5" s="207">
        <f t="shared" si="1"/>
        <v>0</v>
      </c>
      <c r="AL5" s="207">
        <f t="shared" si="1"/>
        <v>0</v>
      </c>
    </row>
    <row r="6" spans="1:38">
      <c r="B6" s="142" t="s">
        <v>235</v>
      </c>
      <c r="C6" s="208">
        <f t="shared" ref="C6:AG6" si="2">SUM(C7:C11)</f>
        <v>181.4475882807622</v>
      </c>
      <c r="D6" s="208">
        <f t="shared" si="2"/>
        <v>179.1780278676919</v>
      </c>
      <c r="E6" s="208">
        <f t="shared" si="2"/>
        <v>177.92775555015709</v>
      </c>
      <c r="F6" s="208">
        <f t="shared" si="2"/>
        <v>196.4337390777209</v>
      </c>
      <c r="G6" s="208">
        <f t="shared" si="2"/>
        <v>194.06986644708084</v>
      </c>
      <c r="H6" s="208">
        <f t="shared" si="2"/>
        <v>201.02604327084055</v>
      </c>
      <c r="I6" s="208">
        <f t="shared" si="2"/>
        <v>212.32257016295569</v>
      </c>
      <c r="J6" s="208">
        <f t="shared" si="2"/>
        <v>222.5336083417902</v>
      </c>
      <c r="K6" s="208">
        <f t="shared" si="2"/>
        <v>215.66638877012966</v>
      </c>
      <c r="L6" s="208">
        <f t="shared" si="2"/>
        <v>223.54993614735031</v>
      </c>
      <c r="M6" s="208">
        <f t="shared" si="2"/>
        <v>228.52201813021031</v>
      </c>
      <c r="N6" s="208">
        <f t="shared" si="2"/>
        <v>217.95706759512993</v>
      </c>
      <c r="O6" s="208">
        <f t="shared" si="2"/>
        <v>223.18293045095191</v>
      </c>
      <c r="P6" s="208">
        <f t="shared" si="2"/>
        <v>229.1107849286681</v>
      </c>
      <c r="Q6" s="208">
        <f t="shared" si="2"/>
        <v>232.02281062548553</v>
      </c>
      <c r="R6" s="208">
        <f t="shared" si="2"/>
        <v>235.22346731998127</v>
      </c>
      <c r="S6" s="208">
        <f t="shared" si="2"/>
        <v>231.73913338679452</v>
      </c>
      <c r="T6" s="208">
        <f t="shared" si="2"/>
        <v>235.21551299657074</v>
      </c>
      <c r="U6" s="208">
        <f t="shared" si="2"/>
        <v>235.56220171118346</v>
      </c>
      <c r="V6" s="208">
        <f t="shared" si="2"/>
        <v>217.99389169083389</v>
      </c>
      <c r="W6" s="208">
        <f t="shared" si="2"/>
        <v>224.22682875597701</v>
      </c>
      <c r="X6" s="208">
        <f t="shared" si="2"/>
        <v>216.26490425921335</v>
      </c>
      <c r="Y6" s="208">
        <f t="shared" si="2"/>
        <v>204.70599199525248</v>
      </c>
      <c r="Z6" s="208">
        <f t="shared" si="2"/>
        <v>223.94275927244854</v>
      </c>
      <c r="AA6" s="208">
        <f t="shared" si="2"/>
        <v>224.04478206776437</v>
      </c>
      <c r="AB6" s="208">
        <f t="shared" si="2"/>
        <v>207.23605774716222</v>
      </c>
      <c r="AC6" s="208">
        <f t="shared" si="2"/>
        <v>195.33467493809735</v>
      </c>
      <c r="AD6" s="208">
        <f t="shared" si="2"/>
        <v>193.13407509788297</v>
      </c>
      <c r="AE6" s="208">
        <f t="shared" si="2"/>
        <v>200.50575957541724</v>
      </c>
      <c r="AF6" s="208">
        <f t="shared" si="2"/>
        <v>191.66242672822167</v>
      </c>
      <c r="AG6" s="208">
        <f t="shared" si="2"/>
        <v>158.97688587942352</v>
      </c>
      <c r="AH6" s="208">
        <f t="shared" ref="AH6:AL6" si="3">SUM(AH7:AH11)</f>
        <v>0.57498368046821979</v>
      </c>
      <c r="AI6" s="208">
        <f t="shared" si="3"/>
        <v>0</v>
      </c>
      <c r="AJ6" s="208">
        <f t="shared" si="3"/>
        <v>0</v>
      </c>
      <c r="AK6" s="208">
        <f t="shared" si="3"/>
        <v>0</v>
      </c>
      <c r="AL6" s="208">
        <f t="shared" si="3"/>
        <v>0</v>
      </c>
    </row>
    <row r="7" spans="1:38">
      <c r="B7" s="23" t="s">
        <v>218</v>
      </c>
      <c r="C7" s="37">
        <f>CO2FFC!C31*UFactor</f>
        <v>192.00128729933954</v>
      </c>
      <c r="D7" s="37">
        <f>CO2FFC!D31*UFactor</f>
        <v>191.43093412637785</v>
      </c>
      <c r="E7" s="37">
        <f>CO2FFC!E31*UFactor</f>
        <v>187.93123456511</v>
      </c>
      <c r="F7" s="37">
        <f>CO2FFC!F31*UFactor</f>
        <v>203.43038709246647</v>
      </c>
      <c r="G7" s="37">
        <f>CO2FFC!G31*UFactor</f>
        <v>204.86631679901208</v>
      </c>
      <c r="H7" s="37">
        <f>CO2FFC!H31*UFactor</f>
        <v>208.53515903901743</v>
      </c>
      <c r="I7" s="37">
        <f>CO2FFC!I31*UFactor</f>
        <v>222.75236282629331</v>
      </c>
      <c r="J7" s="37">
        <f>CO2FFC!J31*UFactor</f>
        <v>225.30127628504704</v>
      </c>
      <c r="K7" s="37">
        <f>CO2FFC!K31*UFactor</f>
        <v>217.01625196922168</v>
      </c>
      <c r="L7" s="37">
        <f>CO2FFC!L31*UFactor</f>
        <v>227.92539211045872</v>
      </c>
      <c r="M7" s="37">
        <f>CO2FFC!M31*UFactor</f>
        <v>234.6341139895847</v>
      </c>
      <c r="N7" s="37">
        <f>CO2FFC!N31*UFactor</f>
        <v>227.55289721865566</v>
      </c>
      <c r="O7" s="37">
        <f>CO2FFC!O31*UFactor</f>
        <v>231.65041771571984</v>
      </c>
      <c r="P7" s="37">
        <f>CO2FFC!P31*UFactor</f>
        <v>235.38947204236041</v>
      </c>
      <c r="Q7" s="37">
        <f>CO2FFC!Q31*UFactor</f>
        <v>241.11804559717348</v>
      </c>
      <c r="R7" s="37">
        <f>CO2FFC!R31*UFactor</f>
        <v>246.38239316560768</v>
      </c>
      <c r="S7" s="37">
        <f>CO2FFC!S31*UFactor</f>
        <v>238.7279405930035</v>
      </c>
      <c r="T7" s="37">
        <f>CO2FFC!T31*UFactor</f>
        <v>245.20844218097554</v>
      </c>
      <c r="U7" s="37">
        <f>CO2FFC!U31*UFactor</f>
        <v>244.56038926326252</v>
      </c>
      <c r="V7" s="37">
        <f>CO2FFC!V31*UFactor</f>
        <v>229.37762040436894</v>
      </c>
      <c r="W7" s="37">
        <f>CO2FFC!W31*UFactor</f>
        <v>233.57691777684082</v>
      </c>
      <c r="X7" s="37">
        <f>CO2FFC!X31*UFactor</f>
        <v>230.45962255370188</v>
      </c>
      <c r="Y7" s="37">
        <f>CO2FFC!Y31*UFactor</f>
        <v>216.96860866655291</v>
      </c>
      <c r="Z7" s="37">
        <f>CO2FFC!Z31*UFactor</f>
        <v>231.20349691744337</v>
      </c>
      <c r="AA7" s="37">
        <f>CO2FFC!AA31*UFactor</f>
        <v>234.14997267252511</v>
      </c>
      <c r="AB7" s="37">
        <f>CO2FFC!AB31*UFactor</f>
        <v>218.09520668975716</v>
      </c>
      <c r="AC7" s="37">
        <f>CO2FFC!AC31*UFactor</f>
        <v>206.15679152127825</v>
      </c>
      <c r="AD7" s="37">
        <f>CO2FFC!AD31*UFactor</f>
        <v>204.11774148220354</v>
      </c>
      <c r="AE7" s="37">
        <f>CO2FFC!AE31*UFactor</f>
        <v>211.06744965905455</v>
      </c>
      <c r="AF7" s="37">
        <f>CO2FFC!AF31*UFactor</f>
        <v>201.84714769526832</v>
      </c>
      <c r="AG7" s="37">
        <f>CO2FFC!AG31*UFactor</f>
        <v>170.2766049694882</v>
      </c>
      <c r="AH7" s="37">
        <f>CO2FFC!AH31*UFactor</f>
        <v>0</v>
      </c>
      <c r="AI7" s="37">
        <f>CO2FFC!AI31*UFactor</f>
        <v>0</v>
      </c>
      <c r="AJ7" s="37">
        <f>CO2FFC!AJ31*UFactor</f>
        <v>0</v>
      </c>
      <c r="AK7" s="37">
        <f>CO2FFC!AK31*UFactor</f>
        <v>0</v>
      </c>
      <c r="AL7" s="37">
        <f>CO2FFC!AL31*UFactor</f>
        <v>0</v>
      </c>
    </row>
    <row r="8" spans="1:38">
      <c r="A8" s="122"/>
      <c r="B8" s="23" t="s">
        <v>10</v>
      </c>
      <c r="C8" s="37">
        <f>(IP!C4/10^6)*UFactor</f>
        <v>2.4439372797783263</v>
      </c>
      <c r="D8" s="37">
        <f>(IP!D4/10^6)*UFactor</f>
        <v>2.3321915418258845</v>
      </c>
      <c r="E8" s="37">
        <f>(IP!E4/10^6)*UFactor</f>
        <v>2.4027099347448133</v>
      </c>
      <c r="F8" s="37">
        <f>(IP!F4/10^6)*UFactor</f>
        <v>2.5307519266305079</v>
      </c>
      <c r="G8" s="37">
        <f>(IP!G4/10^6)*UFactor</f>
        <v>2.8849831880176464</v>
      </c>
      <c r="H8" s="37">
        <f>(IP!H4/10^6)*UFactor</f>
        <v>3.0963168184900245</v>
      </c>
      <c r="I8" s="37">
        <f>(IP!I4/10^6)*UFactor</f>
        <v>3.1569677002062475</v>
      </c>
      <c r="J8" s="37">
        <f>(IP!J4/10^6)*UFactor</f>
        <v>9.6565326705081258</v>
      </c>
      <c r="K8" s="37">
        <f>(IP!K4/10^6)*UFactor</f>
        <v>9.1476211055159329</v>
      </c>
      <c r="L8" s="37">
        <f>(IP!L4/10^6)*UFactor</f>
        <v>8.7974562363590501</v>
      </c>
      <c r="M8" s="37">
        <f>(IP!M4/10^6)*UFactor</f>
        <v>8.0938591653350915</v>
      </c>
      <c r="N8" s="37">
        <f>(IP!N4/10^6)*UFactor</f>
        <v>7.0121129706795307</v>
      </c>
      <c r="O8" s="37">
        <f>(IP!O4/10^6)*UFactor</f>
        <v>7.9741158488767123</v>
      </c>
      <c r="P8" s="37">
        <f>(IP!P4/10^6)*UFactor</f>
        <v>8.2554085080743285</v>
      </c>
      <c r="Q8" s="37">
        <f>(IP!Q4/10^6)*UFactor</f>
        <v>6.4760400690624111</v>
      </c>
      <c r="R8" s="37">
        <f>(IP!R4/10^6)*UFactor</f>
        <v>6.4116264532705465</v>
      </c>
      <c r="S8" s="37">
        <f>(IP!S4/10^6)*UFactor</f>
        <v>6.4451704433646526</v>
      </c>
      <c r="T8" s="37">
        <f>(IP!T4/10^6)*UFactor</f>
        <v>6.1215796649381122</v>
      </c>
      <c r="U8" s="37">
        <f>(IP!U4/10^6)*UFactor</f>
        <v>5.5641772346790725</v>
      </c>
      <c r="V8" s="37">
        <f>(IP!V4/10^6)*UFactor</f>
        <v>2.907355399428226</v>
      </c>
      <c r="W8" s="37">
        <f>(IP!W4/10^6)*UFactor</f>
        <v>4.3995695378062338</v>
      </c>
      <c r="X8" s="37">
        <f>(IP!X4/10^6)*UFactor</f>
        <v>4.2645258818669598</v>
      </c>
      <c r="Y8" s="37">
        <f>(IP!Y4/10^6)*UFactor</f>
        <v>3.9550567020898977</v>
      </c>
      <c r="Z8" s="37">
        <f>(IP!Z4/10^6)*UFactor</f>
        <v>4.2625113044092231</v>
      </c>
      <c r="AA8" s="37">
        <f>(IP!AA4/10^6)*UFactor</f>
        <v>4.3995612047164574</v>
      </c>
      <c r="AB8" s="37">
        <f>(IP!AB4/10^6)*UFactor</f>
        <v>4.5176203150697436</v>
      </c>
      <c r="AC8" s="37">
        <f>(IP!AC4/10^6)*UFactor</f>
        <v>4.4295105062261024</v>
      </c>
      <c r="AD8" s="37">
        <f>(IP!AD4/10^6)*UFactor</f>
        <v>4.1283715561686254</v>
      </c>
      <c r="AE8" s="37">
        <f>(IP!AE4/10^6)*UFactor</f>
        <v>3.8642555394974463</v>
      </c>
      <c r="AF8" s="37">
        <f>(IP!AF4/10^6)*UFactor</f>
        <v>4.1523182720898513</v>
      </c>
      <c r="AG8" s="37">
        <f>(IP!AG4/10^6)*UFactor</f>
        <v>4.1973627698094269</v>
      </c>
      <c r="AH8" s="37">
        <f>(IP!AH4/10^6)*UFactor</f>
        <v>0</v>
      </c>
      <c r="AI8" s="37">
        <f>(IP!AI4/10^6)*UFactor</f>
        <v>0</v>
      </c>
      <c r="AJ8" s="37">
        <f>(IP!AJ4/10^6)*UFactor</f>
        <v>0</v>
      </c>
      <c r="AK8" s="37">
        <f>(IP!AK4/10^6)*UFactor</f>
        <v>0</v>
      </c>
      <c r="AL8" s="37">
        <f>(IP!AL4/10^6)*UFactor</f>
        <v>0</v>
      </c>
    </row>
    <row r="9" spans="1:38">
      <c r="A9" s="122"/>
      <c r="B9" s="23" t="s">
        <v>221</v>
      </c>
      <c r="C9" s="37">
        <f>(Waste!C6)*UFactor</f>
        <v>9.7396116923478854E-2</v>
      </c>
      <c r="D9" s="37">
        <f>(Waste!D6)*UFactor</f>
        <v>0.12084007285876185</v>
      </c>
      <c r="E9" s="37">
        <f>(Waste!E6)*UFactor</f>
        <v>0.11485480727145558</v>
      </c>
      <c r="F9" s="37">
        <f>(Waste!F6)*UFactor</f>
        <v>0.12841266331608381</v>
      </c>
      <c r="G9" s="37">
        <f>(Waste!G6)*UFactor</f>
        <v>0.13014074264596626</v>
      </c>
      <c r="H9" s="37">
        <f>(Waste!H6)*UFactor</f>
        <v>6.2310373750787761E-2</v>
      </c>
      <c r="I9" s="37">
        <f>(Waste!I6)*UFactor</f>
        <v>6.3155450959526765E-2</v>
      </c>
      <c r="J9" s="37">
        <f>(Waste!J6)*UFactor</f>
        <v>0</v>
      </c>
      <c r="K9" s="37">
        <f>(Waste!K6)*UFactor</f>
        <v>6.5409947883470501E-2</v>
      </c>
      <c r="L9" s="37">
        <f>(Waste!L6)*UFactor</f>
        <v>0.13872181177278833</v>
      </c>
      <c r="M9" s="37">
        <f>(Waste!M6)*UFactor</f>
        <v>8.0985810664499586E-2</v>
      </c>
      <c r="N9" s="37">
        <f>(Waste!N6)*UFactor</f>
        <v>4.2322065294592204E-2</v>
      </c>
      <c r="O9" s="37">
        <f>(Waste!O6)*UFactor</f>
        <v>0</v>
      </c>
      <c r="P9" s="37">
        <f>(Waste!P6)*UFactor</f>
        <v>0</v>
      </c>
      <c r="Q9" s="37">
        <f>(Waste!Q6)*UFactor</f>
        <v>0</v>
      </c>
      <c r="R9" s="37">
        <f>(Waste!R6)*UFactor</f>
        <v>0</v>
      </c>
      <c r="S9" s="37">
        <f>(Waste!S6)*UFactor</f>
        <v>0</v>
      </c>
      <c r="T9" s="37">
        <f>(Waste!T6)*UFactor</f>
        <v>0</v>
      </c>
      <c r="U9" s="37">
        <f>(Waste!U6)*UFactor</f>
        <v>0</v>
      </c>
      <c r="V9" s="37">
        <f>(Waste!V6)*UFactor</f>
        <v>0</v>
      </c>
      <c r="W9" s="37">
        <f>(Waste!W6)*UFactor</f>
        <v>0</v>
      </c>
      <c r="X9" s="37">
        <f>(Waste!X6)*UFactor</f>
        <v>0</v>
      </c>
      <c r="Y9" s="37">
        <f>(Waste!Y6)*UFactor</f>
        <v>0</v>
      </c>
      <c r="Z9" s="37">
        <f>(Waste!Z6)*UFactor</f>
        <v>0</v>
      </c>
      <c r="AA9" s="37">
        <f>(Waste!AA6)*UFactor</f>
        <v>0</v>
      </c>
      <c r="AB9" s="37">
        <f>(Waste!AB6)*UFactor</f>
        <v>0</v>
      </c>
      <c r="AC9" s="37">
        <f>(Waste!AC6)*UFactor</f>
        <v>0</v>
      </c>
      <c r="AD9" s="37">
        <f>(Waste!AD6)*UFactor</f>
        <v>0</v>
      </c>
      <c r="AE9" s="37">
        <f>(Waste!AE6)*UFactor</f>
        <v>0</v>
      </c>
      <c r="AF9" s="37">
        <f>(Waste!AF6)*UFactor</f>
        <v>0</v>
      </c>
      <c r="AG9" s="37">
        <f>(Waste!AG6)*UFactor</f>
        <v>0</v>
      </c>
      <c r="AH9" s="37">
        <f>(Waste!AH6)*UFactor</f>
        <v>0</v>
      </c>
      <c r="AI9" s="37">
        <f>(Waste!AI6)*UFactor</f>
        <v>0</v>
      </c>
      <c r="AJ9" s="37">
        <f>(Waste!AJ6)*UFactor</f>
        <v>0</v>
      </c>
      <c r="AK9" s="37">
        <f>(Waste!AK6)*UFactor</f>
        <v>0</v>
      </c>
      <c r="AL9" s="37">
        <f>(Waste!AL6)*UFactor</f>
        <v>0</v>
      </c>
    </row>
    <row r="10" spans="1:38">
      <c r="A10" s="122"/>
      <c r="B10" s="23" t="s">
        <v>11</v>
      </c>
      <c r="C10" s="37">
        <f>(Agriculture!C29+Agriculture!C13)*UFactor</f>
        <v>0.95743647064679371</v>
      </c>
      <c r="D10" s="37">
        <f>(Agriculture!D29+Agriculture!D13)*UFactor</f>
        <v>0.81059036955942987</v>
      </c>
      <c r="E10" s="37">
        <f>(Agriculture!E29+Agriculture!E13)*UFactor</f>
        <v>0.82558410989180331</v>
      </c>
      <c r="F10" s="37">
        <f>(Agriculture!F29+Agriculture!F13)*UFactor</f>
        <v>0.69548854102922608</v>
      </c>
      <c r="G10" s="37">
        <f>(Agriculture!G29+Agriculture!G13)*UFactor</f>
        <v>0.66590405411104925</v>
      </c>
      <c r="H10" s="37">
        <f>(Agriculture!H29+Agriculture!H13)*UFactor</f>
        <v>0.87778849705551754</v>
      </c>
      <c r="I10" s="37">
        <f>(Agriculture!I29+Agriculture!I13)*UFactor</f>
        <v>0.86069660101405288</v>
      </c>
      <c r="J10" s="37">
        <f>(Agriculture!J29+Agriculture!J13)*UFactor</f>
        <v>0.79968622133373524</v>
      </c>
      <c r="K10" s="37">
        <f>(Agriculture!K29+Agriculture!K13)*UFactor</f>
        <v>0.78563652523158656</v>
      </c>
      <c r="L10" s="37">
        <f>(Agriculture!L29+Agriculture!L13)*UFactor</f>
        <v>0.68032568766733903</v>
      </c>
      <c r="M10" s="37">
        <f>(Agriculture!M29+Agriculture!M13)*UFactor</f>
        <v>0.59311305710156259</v>
      </c>
      <c r="N10" s="37">
        <f>(Agriculture!N29+Agriculture!N13)*UFactor</f>
        <v>0.7985410400238937</v>
      </c>
      <c r="O10" s="37">
        <f>(Agriculture!O29+Agriculture!O13)*UFactor</f>
        <v>0.58778849434523761</v>
      </c>
      <c r="P10" s="37">
        <f>(Agriculture!P29+Agriculture!P13)*UFactor</f>
        <v>0.73786132158109563</v>
      </c>
      <c r="Q10" s="37">
        <f>(Agriculture!Q29+Agriculture!Q13)*UFactor</f>
        <v>0.87683792723078935</v>
      </c>
      <c r="R10" s="37">
        <f>(Agriculture!R29+Agriculture!R13)*UFactor</f>
        <v>0.88217961771209774</v>
      </c>
      <c r="S10" s="37">
        <f>(Agriculture!S29+Agriculture!S13)*UFactor</f>
        <v>0.7198308792966559</v>
      </c>
      <c r="T10" s="37">
        <f>(Agriculture!T29+Agriculture!T13)*UFactor</f>
        <v>0.96273457775451921</v>
      </c>
      <c r="U10" s="37">
        <f>(Agriculture!U29+Agriculture!U13)*UFactor</f>
        <v>0.5308806042302664</v>
      </c>
      <c r="V10" s="37">
        <f>(Agriculture!V29+Agriculture!V13)*UFactor</f>
        <v>5.8465689558196504E-2</v>
      </c>
      <c r="W10" s="37">
        <f>(Agriculture!W29+Agriculture!W13)*UFactor</f>
        <v>0.78342431645246691</v>
      </c>
      <c r="X10" s="37">
        <f>(Agriculture!X29+Agriculture!X13)*UFactor</f>
        <v>0.60318412422392609</v>
      </c>
      <c r="Y10" s="37">
        <f>(Agriculture!Y29+Agriculture!Y13)*UFactor</f>
        <v>1.0315283814535565</v>
      </c>
      <c r="Z10" s="37">
        <f>(Agriculture!Z29+Agriculture!Z13)*UFactor</f>
        <v>0.73853384387007093</v>
      </c>
      <c r="AA10" s="37">
        <f>(Agriculture!AA29+Agriculture!AA13)*UFactor</f>
        <v>0.68514252558978384</v>
      </c>
      <c r="AB10" s="37">
        <f>(Agriculture!AB29+Agriculture!AB13)*UFactor</f>
        <v>0.71734268227163445</v>
      </c>
      <c r="AC10" s="37">
        <f>(Agriculture!AC29+Agriculture!AC13)*UFactor</f>
        <v>0.5926323486274272</v>
      </c>
      <c r="AD10" s="37">
        <f>(Agriculture!AD29+Agriculture!AD13)*UFactor</f>
        <v>0.69143125740784439</v>
      </c>
      <c r="AE10" s="37">
        <f>(Agriculture!AE29+Agriculture!AE13)*UFactor</f>
        <v>0.61199857438492034</v>
      </c>
      <c r="AF10" s="37">
        <f>(Agriculture!AF29+Agriculture!AF13)*UFactor</f>
        <v>0.34905788471197441</v>
      </c>
      <c r="AG10" s="37">
        <f>(Agriculture!AG29+Agriculture!AG13)*UFactor</f>
        <v>0.43368430511316203</v>
      </c>
      <c r="AH10" s="37">
        <f>(Agriculture!AH29+Agriculture!AH13)*UFactor</f>
        <v>0.57498368046821979</v>
      </c>
      <c r="AI10" s="37">
        <f>(Agriculture!AI29+Agriculture!AI13)*UFactor</f>
        <v>0</v>
      </c>
      <c r="AJ10" s="37">
        <f>(Agriculture!AJ29+Agriculture!AJ13)*UFactor</f>
        <v>0</v>
      </c>
      <c r="AK10" s="37">
        <f>(Agriculture!AK29+Agriculture!AK13)*UFactor</f>
        <v>0</v>
      </c>
      <c r="AL10" s="37">
        <f>(Agriculture!AL29+Agriculture!AL13)*UFactor</f>
        <v>0</v>
      </c>
    </row>
    <row r="11" spans="1:38">
      <c r="A11" s="122"/>
      <c r="B11" s="23" t="s">
        <v>220</v>
      </c>
      <c r="C11" s="37">
        <f>('Forest Management'!C54*UFactor)-SUM('Forest Management'!C46,'Forest Management'!C49,'Forest Management'!C52,'Forest Management'!C53)*UFactor</f>
        <v>-14.05246888592594</v>
      </c>
      <c r="D11" s="37">
        <f>('Forest Management'!D54*UFactor)-SUM('Forest Management'!D46,'Forest Management'!D49,'Forest Management'!D52,'Forest Management'!D53)*UFactor</f>
        <v>-15.516528242930031</v>
      </c>
      <c r="E11" s="37">
        <f>('Forest Management'!E54*UFactor)-SUM('Forest Management'!E46,'Forest Management'!E49,'Forest Management'!E52,'Forest Management'!E53)*UFactor</f>
        <v>-13.346627866860974</v>
      </c>
      <c r="F11" s="37">
        <f>('Forest Management'!F54*UFactor)-SUM('Forest Management'!F46,'Forest Management'!F49,'Forest Management'!F52,'Forest Management'!F53)*UFactor</f>
        <v>-10.351301145721379</v>
      </c>
      <c r="G11" s="37">
        <f>('Forest Management'!G54*UFactor)-SUM('Forest Management'!G46,'Forest Management'!G49,'Forest Management'!G52,'Forest Management'!G53)*UFactor</f>
        <v>-14.477478336705923</v>
      </c>
      <c r="H11" s="37">
        <f>('Forest Management'!H54*UFactor)-SUM('Forest Management'!H46,'Forest Management'!H49,'Forest Management'!H52,'Forest Management'!H53)*UFactor</f>
        <v>-11.545531457473233</v>
      </c>
      <c r="I11" s="37">
        <f>('Forest Management'!I54*UFactor)-SUM('Forest Management'!I46,'Forest Management'!I49,'Forest Management'!I52,'Forest Management'!I53)*UFactor</f>
        <v>-14.510612415517434</v>
      </c>
      <c r="J11" s="37">
        <f>('Forest Management'!J54*UFactor)-SUM('Forest Management'!J46,'Forest Management'!J49,'Forest Management'!J52,'Forest Management'!J53)*UFactor</f>
        <v>-13.223886835098675</v>
      </c>
      <c r="K11" s="37">
        <f>('Forest Management'!K54*UFactor)-SUM('Forest Management'!K46,'Forest Management'!K49,'Forest Management'!K52,'Forest Management'!K53)*UFactor</f>
        <v>-11.348530777722996</v>
      </c>
      <c r="L11" s="37">
        <f>('Forest Management'!L54*UFactor)-SUM('Forest Management'!L46,'Forest Management'!L49,'Forest Management'!L52,'Forest Management'!L53)*UFactor</f>
        <v>-13.99195969890758</v>
      </c>
      <c r="M11" s="37">
        <f>('Forest Management'!M54*UFactor)-SUM('Forest Management'!M46,'Forest Management'!M49,'Forest Management'!M52,'Forest Management'!M53)*UFactor</f>
        <v>-14.880053892475528</v>
      </c>
      <c r="N11" s="37">
        <f>('Forest Management'!N54*UFactor)-SUM('Forest Management'!N46,'Forest Management'!N49,'Forest Management'!N52,'Forest Management'!N53)*UFactor</f>
        <v>-17.448805699523781</v>
      </c>
      <c r="O11" s="37">
        <f>('Forest Management'!O54*UFactor)-SUM('Forest Management'!O46,'Forest Management'!O49,'Forest Management'!O52,'Forest Management'!O53)*UFactor</f>
        <v>-17.029391607989872</v>
      </c>
      <c r="P11" s="37">
        <f>('Forest Management'!P54*UFactor)-SUM('Forest Management'!P46,'Forest Management'!P49,'Forest Management'!P52,'Forest Management'!P53)*UFactor</f>
        <v>-15.27195694334775</v>
      </c>
      <c r="Q11" s="37">
        <f>('Forest Management'!Q54*UFactor)-SUM('Forest Management'!Q46,'Forest Management'!Q49,'Forest Management'!Q52,'Forest Management'!Q53)*UFactor</f>
        <v>-16.448112967981128</v>
      </c>
      <c r="R11" s="37">
        <f>('Forest Management'!R54*UFactor)-SUM('Forest Management'!R46,'Forest Management'!R49,'Forest Management'!R52,'Forest Management'!R53)*UFactor</f>
        <v>-18.452731916609057</v>
      </c>
      <c r="S11" s="37">
        <f>('Forest Management'!S54*UFactor)-SUM('Forest Management'!S46,'Forest Management'!S49,'Forest Management'!S52,'Forest Management'!S53)*UFactor</f>
        <v>-14.153808528870274</v>
      </c>
      <c r="T11" s="37">
        <f>('Forest Management'!T54*UFactor)-SUM('Forest Management'!T46,'Forest Management'!T49,'Forest Management'!T52,'Forest Management'!T53)*UFactor</f>
        <v>-17.077243427097443</v>
      </c>
      <c r="U11" s="37">
        <f>('Forest Management'!U54*UFactor)-SUM('Forest Management'!U46,'Forest Management'!U49,'Forest Management'!U52,'Forest Management'!U53)*UFactor</f>
        <v>-15.093245390988416</v>
      </c>
      <c r="V11" s="37">
        <f>('Forest Management'!V54*UFactor)-SUM('Forest Management'!V46,'Forest Management'!V49,'Forest Management'!V52,'Forest Management'!V53)*UFactor</f>
        <v>-14.349549802521462</v>
      </c>
      <c r="W11" s="37">
        <f>('Forest Management'!W54*UFactor)-SUM('Forest Management'!W46,'Forest Management'!W49,'Forest Management'!W52,'Forest Management'!W53)*UFactor</f>
        <v>-14.533082875122489</v>
      </c>
      <c r="X11" s="37">
        <f>('Forest Management'!X54*UFactor)-SUM('Forest Management'!X46,'Forest Management'!X49,'Forest Management'!X52,'Forest Management'!X53)*UFactor</f>
        <v>-19.062428300579427</v>
      </c>
      <c r="Y11" s="37">
        <f>('Forest Management'!Y54*UFactor)-SUM('Forest Management'!Y46,'Forest Management'!Y49,'Forest Management'!Y52,'Forest Management'!Y53)*UFactor</f>
        <v>-17.249201754843899</v>
      </c>
      <c r="Z11" s="37">
        <f>('Forest Management'!Z54*UFactor)-SUM('Forest Management'!Z46,'Forest Management'!Z49,'Forest Management'!Z52,'Forest Management'!Z53)*UFactor</f>
        <v>-12.261782793274149</v>
      </c>
      <c r="AA11" s="37">
        <f>('Forest Management'!AA54*UFactor)-SUM('Forest Management'!AA46,'Forest Management'!AA49,'Forest Management'!AA52,'Forest Management'!AA53)*UFactor</f>
        <v>-15.189894335066992</v>
      </c>
      <c r="AB11" s="37">
        <f>('Forest Management'!AB54*UFactor)-SUM('Forest Management'!AB46,'Forest Management'!AB49,'Forest Management'!AB52,'Forest Management'!AB53)*UFactor</f>
        <v>-16.094111939936305</v>
      </c>
      <c r="AC11" s="37">
        <f>('Forest Management'!AC54*UFactor)-SUM('Forest Management'!AC46,'Forest Management'!AC49,'Forest Management'!AC52,'Forest Management'!AC53)*UFactor</f>
        <v>-15.844259438034435</v>
      </c>
      <c r="AD11" s="37">
        <f>('Forest Management'!AD54*UFactor)-SUM('Forest Management'!AD46,'Forest Management'!AD49,'Forest Management'!AD52,'Forest Management'!AD53)*UFactor</f>
        <v>-15.803469197897041</v>
      </c>
      <c r="AE11" s="37">
        <f>('Forest Management'!AE54*UFactor)-SUM('Forest Management'!AE46,'Forest Management'!AE49,'Forest Management'!AE52,'Forest Management'!AE53)*UFactor</f>
        <v>-15.037944197519662</v>
      </c>
      <c r="AF11" s="37">
        <f>('Forest Management'!AF54*UFactor)-SUM('Forest Management'!AF46,'Forest Management'!AF49,'Forest Management'!AF52,'Forest Management'!AF53)*UFactor</f>
        <v>-14.686097123848471</v>
      </c>
      <c r="AG11" s="37">
        <f>('Forest Management'!AG54*UFactor)-SUM('Forest Management'!AG46,'Forest Management'!AG49,'Forest Management'!AG52,'Forest Management'!AG53)*UFactor</f>
        <v>-15.930766164987265</v>
      </c>
      <c r="AH11" s="37">
        <f>('Forest Management'!AH54*UFactor)-SUM('Forest Management'!AH46,'Forest Management'!AH49,'Forest Management'!AH52,'Forest Management'!AH53)*UFactor</f>
        <v>0</v>
      </c>
      <c r="AI11" s="37">
        <f>('Forest Management'!AI54*UFactor)-SUM('Forest Management'!AI46,'Forest Management'!AI49,'Forest Management'!AI52,'Forest Management'!AI53)*UFactor</f>
        <v>0</v>
      </c>
      <c r="AJ11" s="37">
        <f>('Forest Management'!AJ54*UFactor)-SUM('Forest Management'!AJ46,'Forest Management'!AJ49,'Forest Management'!AJ52,'Forest Management'!AJ53)*UFactor</f>
        <v>0</v>
      </c>
      <c r="AK11" s="37">
        <f>('Forest Management'!AK54*UFactor)-SUM('Forest Management'!AK46,'Forest Management'!AK49,'Forest Management'!AK52,'Forest Management'!AK53)*UFactor</f>
        <v>0</v>
      </c>
      <c r="AL11" s="37">
        <f>('Forest Management'!AL54*UFactor)-SUM('Forest Management'!AL46,'Forest Management'!AL49,'Forest Management'!AL52,'Forest Management'!AL53)*UFactor</f>
        <v>0</v>
      </c>
    </row>
    <row r="12" spans="1:38">
      <c r="B12" s="128" t="s">
        <v>67</v>
      </c>
      <c r="C12" s="209">
        <f t="shared" ref="C12:AG12" si="4">SUM(C13:C20)</f>
        <v>23.240449519803914</v>
      </c>
      <c r="D12" s="209">
        <f t="shared" si="4"/>
        <v>23.860557976079079</v>
      </c>
      <c r="E12" s="209">
        <f t="shared" si="4"/>
        <v>24.379782856029831</v>
      </c>
      <c r="F12" s="209">
        <f t="shared" si="4"/>
        <v>23.283181568423259</v>
      </c>
      <c r="G12" s="209">
        <f t="shared" si="4"/>
        <v>24.554536459376273</v>
      </c>
      <c r="H12" s="209">
        <f t="shared" si="4"/>
        <v>24.846302565228466</v>
      </c>
      <c r="I12" s="209">
        <f t="shared" si="4"/>
        <v>24.226866586093347</v>
      </c>
      <c r="J12" s="209">
        <f t="shared" si="4"/>
        <v>23.218324414668675</v>
      </c>
      <c r="K12" s="209">
        <f t="shared" si="4"/>
        <v>21.742543517003174</v>
      </c>
      <c r="L12" s="209">
        <f t="shared" si="4"/>
        <v>21.133680358870919</v>
      </c>
      <c r="M12" s="209">
        <f t="shared" si="4"/>
        <v>20.404477582939322</v>
      </c>
      <c r="N12" s="209">
        <f t="shared" si="4"/>
        <v>13.790912749214272</v>
      </c>
      <c r="O12" s="209">
        <f t="shared" si="4"/>
        <v>15.367483125276433</v>
      </c>
      <c r="P12" s="209">
        <f t="shared" si="4"/>
        <v>16.971239872712719</v>
      </c>
      <c r="Q12" s="209">
        <f t="shared" si="4"/>
        <v>17.742128951789415</v>
      </c>
      <c r="R12" s="209">
        <f t="shared" si="4"/>
        <v>19.549103191288989</v>
      </c>
      <c r="S12" s="209">
        <f t="shared" si="4"/>
        <v>21.021448547423407</v>
      </c>
      <c r="T12" s="209">
        <f t="shared" si="4"/>
        <v>20.704903083487039</v>
      </c>
      <c r="U12" s="209">
        <f t="shared" si="4"/>
        <v>22.153312953925713</v>
      </c>
      <c r="V12" s="209">
        <f t="shared" si="4"/>
        <v>20.960409218335379</v>
      </c>
      <c r="W12" s="209">
        <f t="shared" si="4"/>
        <v>25.421663287971064</v>
      </c>
      <c r="X12" s="209">
        <f t="shared" si="4"/>
        <v>24.451230673511738</v>
      </c>
      <c r="Y12" s="209">
        <f t="shared" si="4"/>
        <v>24.029535204308502</v>
      </c>
      <c r="Z12" s="209">
        <f t="shared" si="4"/>
        <v>22.707633322013095</v>
      </c>
      <c r="AA12" s="209">
        <f t="shared" si="4"/>
        <v>22.856394825265358</v>
      </c>
      <c r="AB12" s="209">
        <f t="shared" si="4"/>
        <v>23.490442094792872</v>
      </c>
      <c r="AC12" s="209">
        <f t="shared" si="4"/>
        <v>24.20033552617625</v>
      </c>
      <c r="AD12" s="209">
        <f t="shared" si="4"/>
        <v>23.483439616633845</v>
      </c>
      <c r="AE12" s="209">
        <f t="shared" si="4"/>
        <v>21.934492345869572</v>
      </c>
      <c r="AF12" s="209">
        <f t="shared" si="4"/>
        <v>19.800405849079745</v>
      </c>
      <c r="AG12" s="209">
        <f t="shared" si="4"/>
        <v>17.797782934988305</v>
      </c>
      <c r="AH12" s="209">
        <f t="shared" ref="AH12:AL12" si="5">SUM(AH13:AH20)</f>
        <v>8.8246465356158375</v>
      </c>
      <c r="AI12" s="209">
        <f t="shared" si="5"/>
        <v>4.1506728251231495</v>
      </c>
      <c r="AJ12" s="209">
        <f t="shared" si="5"/>
        <v>0.32827812681537971</v>
      </c>
      <c r="AK12" s="209">
        <f t="shared" si="5"/>
        <v>0.32270198347361084</v>
      </c>
      <c r="AL12" s="209">
        <f t="shared" si="5"/>
        <v>0.31748190045141383</v>
      </c>
    </row>
    <row r="13" spans="1:38">
      <c r="B13" s="23" t="s">
        <v>6</v>
      </c>
      <c r="C13" s="37">
        <f>Stationary!C17*UFactor</f>
        <v>0.4858297572352</v>
      </c>
      <c r="D13" s="37">
        <f>Stationary!D17*UFactor</f>
        <v>0.5017613591138399</v>
      </c>
      <c r="E13" s="37">
        <f>Stationary!E17*UFactor</f>
        <v>0.51516781805664003</v>
      </c>
      <c r="F13" s="37">
        <f>Stationary!F17*UFactor</f>
        <v>0.37238743278239994</v>
      </c>
      <c r="G13" s="37">
        <f>Stationary!G17*UFactor</f>
        <v>0.36265880347703994</v>
      </c>
      <c r="H13" s="37">
        <f>Stationary!H17*UFactor</f>
        <v>0.36478966713280003</v>
      </c>
      <c r="I13" s="37">
        <f>Stationary!I17*UFactor</f>
        <v>0.38387711077632003</v>
      </c>
      <c r="J13" s="37">
        <f>Stationary!J17*UFactor</f>
        <v>0.32892975837959998</v>
      </c>
      <c r="K13" s="37">
        <f>Stationary!K17*UFactor</f>
        <v>0.29326403865247996</v>
      </c>
      <c r="L13" s="37">
        <f>Stationary!L17*UFactor</f>
        <v>0.30461777718735994</v>
      </c>
      <c r="M13" s="37">
        <f>Stationary!M17*UFactor</f>
        <v>0.31175911563440001</v>
      </c>
      <c r="N13" s="37">
        <f>Stationary!N17*UFactor</f>
        <v>0.33611451761440003</v>
      </c>
      <c r="O13" s="37">
        <f>Stationary!O17*UFactor</f>
        <v>0.34090591896032002</v>
      </c>
      <c r="P13" s="37">
        <f>Stationary!P17*UFactor</f>
        <v>0.35292491316319996</v>
      </c>
      <c r="Q13" s="37">
        <f>Stationary!Q17*UFactor</f>
        <v>0.34795597413023999</v>
      </c>
      <c r="R13" s="37">
        <f>Stationary!R17*UFactor</f>
        <v>0.24501282807399999</v>
      </c>
      <c r="S13" s="37">
        <f>Stationary!S17*UFactor</f>
        <v>0.23265360372351995</v>
      </c>
      <c r="T13" s="37">
        <f>Stationary!T17*UFactor</f>
        <v>0.24648345726759999</v>
      </c>
      <c r="U13" s="37">
        <f>Stationary!U17*UFactor</f>
        <v>0.25834426844239999</v>
      </c>
      <c r="V13" s="37">
        <f>Stationary!V17*UFactor</f>
        <v>0.30522027885439995</v>
      </c>
      <c r="W13" s="37">
        <f>Stationary!W17*UFactor</f>
        <v>0.31605788780383987</v>
      </c>
      <c r="X13" s="37">
        <f>Stationary!X17*UFactor</f>
        <v>0.31457311927383996</v>
      </c>
      <c r="Y13" s="37">
        <f>Stationary!Y17*UFactor</f>
        <v>0.27996131015383996</v>
      </c>
      <c r="Z13" s="37">
        <f>Stationary!Z17*UFactor</f>
        <v>0.33426005087999994</v>
      </c>
      <c r="AA13" s="37">
        <f>Stationary!AA17*UFactor</f>
        <v>0.34143327794855993</v>
      </c>
      <c r="AB13" s="37">
        <f>Stationary!AB17*UFactor</f>
        <v>0.22912430182376001</v>
      </c>
      <c r="AC13" s="37">
        <f>Stationary!AC17*UFactor</f>
        <v>0.21810115176528</v>
      </c>
      <c r="AD13" s="37">
        <f>Stationary!AD17*UFactor</f>
        <v>0.21145087848751995</v>
      </c>
      <c r="AE13" s="37">
        <f>Stationary!AE17*UFactor</f>
        <v>0.23537766868000001</v>
      </c>
      <c r="AF13" s="37">
        <f>Stationary!AF17*UFactor</f>
        <v>0.23975065827999997</v>
      </c>
      <c r="AG13" s="37">
        <f>Stationary!AG17*UFactor</f>
        <v>0.21470663843999996</v>
      </c>
      <c r="AH13" s="37">
        <f>Stationary!AH17*UFactor</f>
        <v>0</v>
      </c>
      <c r="AI13" s="37">
        <f>Stationary!AI17*UFactor</f>
        <v>0</v>
      </c>
      <c r="AJ13" s="37">
        <f>Stationary!AJ17*UFactor</f>
        <v>0</v>
      </c>
      <c r="AK13" s="37">
        <f>Stationary!AK17*UFactor</f>
        <v>0</v>
      </c>
      <c r="AL13" s="37">
        <f>Stationary!AL17*UFactor</f>
        <v>0</v>
      </c>
    </row>
    <row r="14" spans="1:38">
      <c r="A14" s="122"/>
      <c r="B14" s="23" t="s">
        <v>7</v>
      </c>
      <c r="C14" s="37">
        <f>('Mobile Combustion'!C80/10^6)*UFactor</f>
        <v>0.25902802416237741</v>
      </c>
      <c r="D14" s="37">
        <f>('Mobile Combustion'!D80/10^6)*UFactor</f>
        <v>0.25606484590993939</v>
      </c>
      <c r="E14" s="37">
        <f>('Mobile Combustion'!E80/10^6)*UFactor</f>
        <v>0.25289423124575738</v>
      </c>
      <c r="F14" s="37">
        <f>('Mobile Combustion'!F80/10^6)*UFactor</f>
        <v>0.26087241061316574</v>
      </c>
      <c r="G14" s="37">
        <f>('Mobile Combustion'!G80/10^6)*UFactor</f>
        <v>0.25169529370109578</v>
      </c>
      <c r="H14" s="37">
        <f>('Mobile Combustion'!H80/10^6)*UFactor</f>
        <v>0.24740088434635266</v>
      </c>
      <c r="I14" s="37">
        <f>('Mobile Combustion'!I80/10^6)*UFactor</f>
        <v>0.24184606017550217</v>
      </c>
      <c r="J14" s="37">
        <f>('Mobile Combustion'!J80/10^6)*UFactor</f>
        <v>0.23279294956414209</v>
      </c>
      <c r="K14" s="37">
        <f>('Mobile Combustion'!K80/10^6)*UFactor</f>
        <v>0.22511323307769662</v>
      </c>
      <c r="L14" s="37">
        <f>('Mobile Combustion'!L80/10^6)*UFactor</f>
        <v>0.19822070797162042</v>
      </c>
      <c r="M14" s="37">
        <f>('Mobile Combustion'!M80/10^6)*UFactor</f>
        <v>0.18606439254569934</v>
      </c>
      <c r="N14" s="37">
        <f>('Mobile Combustion'!N80/10^6)*UFactor</f>
        <v>0.17061847438529709</v>
      </c>
      <c r="O14" s="37">
        <f>('Mobile Combustion'!O80/10^6)*UFactor</f>
        <v>0.16173119647493706</v>
      </c>
      <c r="P14" s="37">
        <f>('Mobile Combustion'!P80/10^6)*UFactor</f>
        <v>0.15785923353665421</v>
      </c>
      <c r="Q14" s="37">
        <f>('Mobile Combustion'!Q80/10^6)*UFactor</f>
        <v>0.14542045945383453</v>
      </c>
      <c r="R14" s="37">
        <f>('Mobile Combustion'!R80/10^6)*UFactor</f>
        <v>0.14583769729898108</v>
      </c>
      <c r="S14" s="37">
        <f>('Mobile Combustion'!S80/10^6)*UFactor</f>
        <v>0.13324057383737231</v>
      </c>
      <c r="T14" s="37">
        <f>('Mobile Combustion'!T80/10^6)*UFactor</f>
        <v>0.11407558730023627</v>
      </c>
      <c r="U14" s="37">
        <f>('Mobile Combustion'!U80/10^6)*UFactor</f>
        <v>0.10780745516102988</v>
      </c>
      <c r="V14" s="37">
        <f>('Mobile Combustion'!V80/10^6)*UFactor</f>
        <v>9.7610614646919142E-2</v>
      </c>
      <c r="W14" s="37">
        <f>('Mobile Combustion'!W80/10^6)*UFactor</f>
        <v>0.11157077314635896</v>
      </c>
      <c r="X14" s="37">
        <f>('Mobile Combustion'!X80/10^6)*UFactor</f>
        <v>0.10605306685444683</v>
      </c>
      <c r="Y14" s="37">
        <f>('Mobile Combustion'!Y80/10^6)*UFactor</f>
        <v>0.10337971687381742</v>
      </c>
      <c r="Z14" s="37">
        <f>('Mobile Combustion'!Z80/10^6)*UFactor</f>
        <v>9.7625299507506494E-2</v>
      </c>
      <c r="AA14" s="37">
        <f>('Mobile Combustion'!AA80/10^6)*UFactor</f>
        <v>9.3677735174814716E-2</v>
      </c>
      <c r="AB14" s="37">
        <f>('Mobile Combustion'!AB80/10^6)*UFactor</f>
        <v>8.8094052415353549E-2</v>
      </c>
      <c r="AC14" s="37">
        <f>('Mobile Combustion'!AC80/10^6)*UFactor</f>
        <v>8.8091504811360744E-2</v>
      </c>
      <c r="AD14" s="37">
        <f>('Mobile Combustion'!AD80/10^6)*UFactor</f>
        <v>8.7248364732252504E-2</v>
      </c>
      <c r="AE14" s="37">
        <f>('Mobile Combustion'!AE80/10^6)*UFactor</f>
        <v>8.5810258366435854E-2</v>
      </c>
      <c r="AF14" s="37">
        <f>('Mobile Combustion'!AF80/10^6)*UFactor</f>
        <v>8.649294424492078E-2</v>
      </c>
      <c r="AG14" s="37">
        <f>('Mobile Combustion'!AG80/10^6)*UFactor</f>
        <v>7.2472475767798333E-2</v>
      </c>
      <c r="AH14" s="37">
        <f>('Mobile Combustion'!AH80/10^6)*UFactor</f>
        <v>0</v>
      </c>
      <c r="AI14" s="37">
        <f>('Mobile Combustion'!AI80/10^6)*UFactor</f>
        <v>0</v>
      </c>
      <c r="AJ14" s="37">
        <f>('Mobile Combustion'!AJ80/10^6)*UFactor</f>
        <v>0</v>
      </c>
      <c r="AK14" s="37">
        <f>('Mobile Combustion'!AK80/10^6)*UFactor</f>
        <v>0</v>
      </c>
      <c r="AL14" s="37">
        <f>('Mobile Combustion'!AL80/10^6)*UFactor</f>
        <v>0</v>
      </c>
    </row>
    <row r="15" spans="1:38">
      <c r="A15" s="122"/>
      <c r="B15" s="23" t="s">
        <v>8</v>
      </c>
      <c r="C15" s="37">
        <f>(Coal!C5+Coal!C6+Coal!C10)/10^6*UFactor</f>
        <v>5.6095730522525251</v>
      </c>
      <c r="D15" s="37">
        <f>(Coal!D5+Coal!D6+Coal!D10)/10^6*UFactor</f>
        <v>5.7316163230608126</v>
      </c>
      <c r="E15" s="37">
        <f>(Coal!E5+Coal!E6+Coal!E10)/10^6*UFactor</f>
        <v>6.0682569698323219</v>
      </c>
      <c r="F15" s="37">
        <f>(Coal!F5+Coal!F6+Coal!F10)/10^6*UFactor</f>
        <v>4.7383538301402499</v>
      </c>
      <c r="G15" s="37">
        <f>(Coal!G5+Coal!G6+Coal!G10)/10^6*UFactor</f>
        <v>5.8160582071118139</v>
      </c>
      <c r="H15" s="37">
        <f>(Coal!H5+Coal!H6+Coal!H10)/10^6*UFactor</f>
        <v>6.041098884221106</v>
      </c>
      <c r="I15" s="37">
        <f>(Coal!I5+Coal!I6+Coal!I10)/10^6*UFactor</f>
        <v>5.7511454563557791</v>
      </c>
      <c r="J15" s="37">
        <f>(Coal!J5+Coal!J6+Coal!J10)/10^6*UFactor</f>
        <v>5.1833555609672377</v>
      </c>
      <c r="K15" s="37">
        <f>(Coal!K5+Coal!K6+Coal!K10)/10^6*UFactor</f>
        <v>4.6993001369882723</v>
      </c>
      <c r="L15" s="37">
        <f>(Coal!L5+Coal!L6+Coal!L10)/10^6*UFactor</f>
        <v>4.6494204361978326</v>
      </c>
      <c r="M15" s="37">
        <f>(Coal!M5+Coal!M6+Coal!M10)/10^6*UFactor</f>
        <v>4.9655778923927656</v>
      </c>
      <c r="N15" s="37">
        <f>(Coal!N5+Coal!N6+Coal!N10)/10^6*UFactor</f>
        <v>4.2388340316071167</v>
      </c>
      <c r="O15" s="37">
        <f>(Coal!O5+Coal!O6+Coal!O10)/10^6*UFactor</f>
        <v>3.5162484091918533</v>
      </c>
      <c r="P15" s="37">
        <f>(Coal!P5+Coal!P6+Coal!P10)/10^6*UFactor</f>
        <v>2.9562908457696908</v>
      </c>
      <c r="Q15" s="37">
        <f>(Coal!Q5+Coal!Q6+Coal!Q10)/10^6*UFactor</f>
        <v>3.5165107329022613</v>
      </c>
      <c r="R15" s="37">
        <f>(Coal!R5+Coal!R6+Coal!R10)/10^6*UFactor</f>
        <v>3.8915886057312741</v>
      </c>
      <c r="S15" s="37">
        <f>(Coal!S5+Coal!S6+Coal!S10)/10^6*UFactor</f>
        <v>4.0620802276130012</v>
      </c>
      <c r="T15" s="37">
        <f>(Coal!T5+Coal!T6+Coal!T10)/10^6*UFactor</f>
        <v>2.7839899371823229</v>
      </c>
      <c r="U15" s="37">
        <f>(Coal!U5+Coal!U6+Coal!U10)/10^6*UFactor</f>
        <v>4.4933615707200287</v>
      </c>
      <c r="V15" s="37">
        <f>(Coal!V5+Coal!V6+Coal!V10)/10^6*UFactor</f>
        <v>4.2955934175885684</v>
      </c>
      <c r="W15" s="37">
        <f>(Coal!W5+Coal!W6+Coal!W10)/10^6*UFactor</f>
        <v>5.017884120230975</v>
      </c>
      <c r="X15" s="37">
        <f>(Coal!X5+Coal!X6+Coal!X10)/10^6*UFactor</f>
        <v>4.5112036313636557</v>
      </c>
      <c r="Y15" s="37">
        <f>(Coal!Y5+Coal!Y6+Coal!Y10)/10^6*UFactor</f>
        <v>5.6457604155838652</v>
      </c>
      <c r="Z15" s="37">
        <f>(Coal!Z5+Coal!Z6+Coal!Z10)/10^6*UFactor</f>
        <v>5.2154325366169889</v>
      </c>
      <c r="AA15" s="37">
        <f>(Coal!AA5+Coal!AA6+Coal!AA10)/10^6*UFactor</f>
        <v>5.4038968800856111</v>
      </c>
      <c r="AB15" s="37">
        <f>(Coal!AB5+Coal!AB6+Coal!AB10)/10^6*UFactor</f>
        <v>6.1006752360734762</v>
      </c>
      <c r="AC15" s="37">
        <f>(Coal!AC5+Coal!AC6+Coal!AC10)/10^6*UFactor</f>
        <v>6.3486134896853033</v>
      </c>
      <c r="AD15" s="37">
        <f>(Coal!AD5+Coal!AD6+Coal!AD10)/10^6*UFactor</f>
        <v>4.9745623326882029</v>
      </c>
      <c r="AE15" s="37">
        <f>(Coal!AE5+Coal!AE6+Coal!AE10)/10^6*UFactor</f>
        <v>3.8931467135535032</v>
      </c>
      <c r="AF15" s="37">
        <f>(Coal!AF5+Coal!AF6+Coal!AF10)/10^6*UFactor</f>
        <v>3.4149984667047941</v>
      </c>
      <c r="AG15" s="37">
        <f>(Coal!AG5+Coal!AG6+Coal!AG10)/10^6*UFactor</f>
        <v>2.5632706870975728</v>
      </c>
      <c r="AH15" s="37">
        <f>(Coal!AH5+Coal!AH6+Coal!AH10)/10^6*UFactor</f>
        <v>0.34073498465039781</v>
      </c>
      <c r="AI15" s="37">
        <f>(Coal!AI5+Coal!AI6+Coal!AI10)/10^6*UFactor</f>
        <v>0.3342652406828584</v>
      </c>
      <c r="AJ15" s="37">
        <f>(Coal!AJ5+Coal!AJ6+Coal!AJ10)/10^6*UFactor</f>
        <v>0.32827812681537971</v>
      </c>
      <c r="AK15" s="37">
        <f>(Coal!AK5+Coal!AK6+Coal!AK10)/10^6*UFactor</f>
        <v>0.32270198347361084</v>
      </c>
      <c r="AL15" s="37">
        <f>(Coal!AL5+Coal!AL6+Coal!AL10)/10^6*UFactor</f>
        <v>0.31748190045141383</v>
      </c>
    </row>
    <row r="16" spans="1:38">
      <c r="A16" s="122"/>
      <c r="B16" s="23" t="s">
        <v>9</v>
      </c>
      <c r="C16" s="37">
        <f>('Gas and Oil'!C8)*UFactor</f>
        <v>0.39899376005184967</v>
      </c>
      <c r="D16" s="37">
        <f>('Gas and Oil'!D8)*UFactor</f>
        <v>0.3819970340933615</v>
      </c>
      <c r="E16" s="37">
        <f>('Gas and Oil'!E8)*UFactor</f>
        <v>0.39175792894839451</v>
      </c>
      <c r="F16" s="37">
        <f>('Gas and Oil'!F8)*UFactor</f>
        <v>0.3692305128285937</v>
      </c>
      <c r="G16" s="37">
        <f>('Gas and Oil'!G8)*UFactor</f>
        <v>0.37212240976302946</v>
      </c>
      <c r="H16" s="37">
        <f>('Gas and Oil'!H8)*UFactor</f>
        <v>0.3551631885927603</v>
      </c>
      <c r="I16" s="37">
        <f>('Gas and Oil'!I8)*UFactor</f>
        <v>0.35045796104608912</v>
      </c>
      <c r="J16" s="37">
        <f>('Gas and Oil'!J8)*UFactor</f>
        <v>0.35569466177544917</v>
      </c>
      <c r="K16" s="37">
        <f>('Gas and Oil'!K8)*UFactor</f>
        <v>0.29145658127290247</v>
      </c>
      <c r="L16" s="37">
        <f>('Gas and Oil'!L8)*UFactor</f>
        <v>0.28090821672969968</v>
      </c>
      <c r="M16" s="37">
        <f>('Gas and Oil'!M8)*UFactor</f>
        <v>0.28052271501153603</v>
      </c>
      <c r="N16" s="37">
        <f>('Gas and Oil'!N8)*UFactor</f>
        <v>0.23829249341067765</v>
      </c>
      <c r="O16" s="37">
        <f>('Gas and Oil'!O8)*UFactor</f>
        <v>0.25104193418526227</v>
      </c>
      <c r="P16" s="37">
        <f>('Gas and Oil'!P8)*UFactor</f>
        <v>0.26997762748372706</v>
      </c>
      <c r="Q16" s="37">
        <f>('Gas and Oil'!Q8)*UFactor</f>
        <v>0.26336009438614749</v>
      </c>
      <c r="R16" s="37">
        <f>('Gas and Oil'!R8)*UFactor</f>
        <v>0.24895434402878291</v>
      </c>
      <c r="S16" s="37">
        <f>('Gas and Oil'!S8)*UFactor</f>
        <v>0.26794343815843596</v>
      </c>
      <c r="T16" s="37">
        <f>('Gas and Oil'!T8)*UFactor</f>
        <v>0.21922452073685261</v>
      </c>
      <c r="U16" s="37">
        <f>('Gas and Oil'!U8)*UFactor</f>
        <v>0.21745618501587691</v>
      </c>
      <c r="V16" s="37">
        <f>('Gas and Oil'!V8)*UFactor</f>
        <v>0.19172472488357309</v>
      </c>
      <c r="W16" s="37">
        <f>('Gas and Oil'!W8)*UFactor</f>
        <v>4.0246750898860917</v>
      </c>
      <c r="X16" s="37">
        <f>('Gas and Oil'!X8)*UFactor</f>
        <v>4.025256043012452</v>
      </c>
      <c r="Y16" s="37">
        <f>('Gas and Oil'!Y8)*UFactor</f>
        <v>3.9870156998712174</v>
      </c>
      <c r="Z16" s="37">
        <f>('Gas and Oil'!Z8)*UFactor</f>
        <v>3.9745510157782333</v>
      </c>
      <c r="AA16" s="37">
        <f>('Gas and Oil'!AA8)*UFactor</f>
        <v>3.9666084781963558</v>
      </c>
      <c r="AB16" s="37">
        <f>('Gas and Oil'!AB8)*UFactor</f>
        <v>3.9256958769467443</v>
      </c>
      <c r="AC16" s="37">
        <f>('Gas and Oil'!AC8)*UFactor</f>
        <v>3.9043292322308569</v>
      </c>
      <c r="AD16" s="37">
        <f>('Gas and Oil'!AD8)*UFactor</f>
        <v>3.9077879964245814</v>
      </c>
      <c r="AE16" s="37">
        <f>('Gas and Oil'!AE8)*UFactor</f>
        <v>3.8706345923295151</v>
      </c>
      <c r="AF16" s="37">
        <f>('Gas and Oil'!AF8)*UFactor</f>
        <v>3.898865871852609</v>
      </c>
      <c r="AG16" s="37">
        <f>('Gas and Oil'!AG8)*UFactor</f>
        <v>3.8961344544001206</v>
      </c>
      <c r="AH16" s="37">
        <f>('Gas and Oil'!AH8)*UFactor</f>
        <v>3.8152114226839777</v>
      </c>
      <c r="AI16" s="37">
        <f>('Gas and Oil'!AI8)*UFactor</f>
        <v>3.8164075844402912</v>
      </c>
      <c r="AJ16" s="37">
        <f>('Gas and Oil'!AJ8)*UFactor</f>
        <v>0</v>
      </c>
      <c r="AK16" s="37">
        <f>('Gas and Oil'!AK8)*UFactor</f>
        <v>0</v>
      </c>
      <c r="AL16" s="37">
        <f>('Gas and Oil'!AL8)*UFactor</f>
        <v>0</v>
      </c>
    </row>
    <row r="17" spans="1:38">
      <c r="A17" s="122"/>
      <c r="B17" s="23" t="s">
        <v>11</v>
      </c>
      <c r="C17" s="37">
        <f>(Agriculture!C14+Agriculture!C32*CH4GWP)*UFactor</f>
        <v>5.4569354143163764</v>
      </c>
      <c r="D17" s="37">
        <f>(Agriculture!D14+Agriculture!D32*CH4GWP)*UFactor</f>
        <v>5.7629508035074632</v>
      </c>
      <c r="E17" s="37">
        <f>(Agriculture!E14+Agriculture!E32*CH4GWP)*UFactor</f>
        <v>5.5645589113327265</v>
      </c>
      <c r="F17" s="37">
        <f>(Agriculture!F14+Agriculture!F32*CH4GWP)*UFactor</f>
        <v>5.6593183639506233</v>
      </c>
      <c r="G17" s="37">
        <f>(Agriculture!G14+Agriculture!G32*CH4GWP)*UFactor</f>
        <v>5.649093847298726</v>
      </c>
      <c r="H17" s="37">
        <f>(Agriculture!H14+Agriculture!H32*CH4GWP)*UFactor</f>
        <v>5.423712257729103</v>
      </c>
      <c r="I17" s="37">
        <f>(Agriculture!I14+Agriculture!I32*CH4GWP)*UFactor</f>
        <v>4.9520461236919209</v>
      </c>
      <c r="J17" s="37">
        <f>(Agriculture!J14+Agriculture!J32*CH4GWP)*UFactor</f>
        <v>4.8056239030267403</v>
      </c>
      <c r="K17" s="37">
        <f>(Agriculture!K14+Agriculture!K32*CH4GWP)*UFactor</f>
        <v>5.012205917675681</v>
      </c>
      <c r="L17" s="37">
        <f>(Agriculture!L14+Agriculture!L32*CH4GWP)*UFactor</f>
        <v>4.8162776956003484</v>
      </c>
      <c r="M17" s="37">
        <f>(Agriculture!M14+Agriculture!M32*CH4GWP)*UFactor</f>
        <v>4.7376963058546337</v>
      </c>
      <c r="N17" s="37">
        <f>(Agriculture!N14+Agriculture!N32*CH4GWP)*UFactor</f>
        <v>4.6598676835122435</v>
      </c>
      <c r="O17" s="37">
        <f>(Agriculture!O14+Agriculture!O32*CH4GWP)*UFactor</f>
        <v>4.6672024643358032</v>
      </c>
      <c r="P17" s="37">
        <f>(Agriculture!P14+Agriculture!P32*CH4GWP)*UFactor</f>
        <v>4.4148939274116987</v>
      </c>
      <c r="Q17" s="37">
        <f>(Agriculture!Q14+Agriculture!Q32*CH4GWP)*UFactor</f>
        <v>4.261157539127689</v>
      </c>
      <c r="R17" s="37">
        <f>(Agriculture!R14+Agriculture!R32*CH4GWP)*UFactor</f>
        <v>4.5256899894464135</v>
      </c>
      <c r="S17" s="37">
        <f>(Agriculture!S14+Agriculture!S32*CH4GWP)*UFactor</f>
        <v>4.5321181390597971</v>
      </c>
      <c r="T17" s="37">
        <f>(Agriculture!T14+Agriculture!T32*CH4GWP)*UFactor</f>
        <v>4.5946105659414433</v>
      </c>
      <c r="U17" s="37">
        <f>(Agriculture!U14+Agriculture!U32*CH4GWP)*UFactor</f>
        <v>4.3218351506732233</v>
      </c>
      <c r="V17" s="37">
        <f>(Agriculture!V14+Agriculture!V32*CH4GWP)*UFactor</f>
        <v>4.1768101136134588</v>
      </c>
      <c r="W17" s="37">
        <f>(Agriculture!W14+Agriculture!W32*CH4GWP)*UFactor</f>
        <v>4.3810935682507317</v>
      </c>
      <c r="X17" s="37">
        <f>(Agriculture!X14+Agriculture!X32*CH4GWP)*UFactor</f>
        <v>4.2602227425749559</v>
      </c>
      <c r="Y17" s="37">
        <f>(Agriculture!Y14+Agriculture!Y32*CH4GWP)*UFactor</f>
        <v>4.3568411694382307</v>
      </c>
      <c r="Z17" s="37">
        <f>(Agriculture!Z14+Agriculture!Z32*CH4GWP)*UFactor</f>
        <v>4.2495563798386362</v>
      </c>
      <c r="AA17" s="37">
        <f>(Agriculture!AA14+Agriculture!AA32*CH4GWP)*UFactor</f>
        <v>4.2128720947980831</v>
      </c>
      <c r="AB17" s="37">
        <f>(Agriculture!AB14+Agriculture!AB32*CH4GWP)*UFactor</f>
        <v>4.4018814658659968</v>
      </c>
      <c r="AC17" s="37">
        <f>(Agriculture!AC14+Agriculture!AC32*CH4GWP)*UFactor</f>
        <v>4.6808791128527512</v>
      </c>
      <c r="AD17" s="37">
        <f>(Agriculture!AD14+Agriculture!AD32*CH4GWP)*UFactor</f>
        <v>4.7082448480944539</v>
      </c>
      <c r="AE17" s="37">
        <f>(Agriculture!AE14+Agriculture!AE32*CH4GWP)*UFactor</f>
        <v>4.7444606868344588</v>
      </c>
      <c r="AF17" s="37">
        <f>(Agriculture!AF14+Agriculture!AF32*CH4GWP)*UFactor</f>
        <v>4.5209730547819245</v>
      </c>
      <c r="AG17" s="37">
        <f>(Agriculture!AG14+Agriculture!AG32*CH4GWP)*UFactor</f>
        <v>4.4540597329471279</v>
      </c>
      <c r="AH17" s="37">
        <f>(Agriculture!AH14+Agriculture!AH32*CH4GWP)*UFactor</f>
        <v>4.6687001282814631</v>
      </c>
      <c r="AI17" s="37">
        <f>(Agriculture!AI14+Agriculture!AI32*CH4GWP)*UFactor</f>
        <v>0</v>
      </c>
      <c r="AJ17" s="37">
        <f>(Agriculture!AJ14+Agriculture!AJ32*CH4GWP)*UFactor</f>
        <v>0</v>
      </c>
      <c r="AK17" s="37">
        <f>(Agriculture!AK14+Agriculture!AK32*CH4GWP)*UFactor</f>
        <v>0</v>
      </c>
      <c r="AL17" s="37">
        <f>(Agriculture!AL14+Agriculture!AL32*CH4GWP)*UFactor</f>
        <v>0</v>
      </c>
    </row>
    <row r="18" spans="1:38">
      <c r="A18" s="122"/>
      <c r="B18" s="23" t="s">
        <v>220</v>
      </c>
      <c r="C18" s="37">
        <f>('Forest Management'!C47+'Forest Management'!C52)*UFactor</f>
        <v>0</v>
      </c>
      <c r="D18" s="37">
        <f>('Forest Management'!D47+'Forest Management'!D52)*UFactor</f>
        <v>0</v>
      </c>
      <c r="E18" s="37">
        <f>('Forest Management'!E47+'Forest Management'!E52)*UFactor</f>
        <v>0</v>
      </c>
      <c r="F18" s="37">
        <f>('Forest Management'!F47+'Forest Management'!F52)*UFactor</f>
        <v>0</v>
      </c>
      <c r="G18" s="37">
        <f>('Forest Management'!G47+'Forest Management'!G52)*UFactor</f>
        <v>0</v>
      </c>
      <c r="H18" s="37">
        <f>('Forest Management'!H47+'Forest Management'!H52)*UFactor</f>
        <v>0</v>
      </c>
      <c r="I18" s="37">
        <f>('Forest Management'!I47+'Forest Management'!I52)*UFactor</f>
        <v>0</v>
      </c>
      <c r="J18" s="37">
        <f>('Forest Management'!J47+'Forest Management'!J52)*UFactor</f>
        <v>0</v>
      </c>
      <c r="K18" s="37">
        <f>('Forest Management'!K47+'Forest Management'!K52)*UFactor</f>
        <v>0</v>
      </c>
      <c r="L18" s="37">
        <f>('Forest Management'!L47+'Forest Management'!L52)*UFactor</f>
        <v>0</v>
      </c>
      <c r="M18" s="37">
        <f>('Forest Management'!M47+'Forest Management'!M52)*UFactor</f>
        <v>0</v>
      </c>
      <c r="N18" s="37">
        <f>('Forest Management'!N47+'Forest Management'!N52)*UFactor</f>
        <v>0</v>
      </c>
      <c r="O18" s="37">
        <f>('Forest Management'!O47+'Forest Management'!O52)*UFactor</f>
        <v>0</v>
      </c>
      <c r="P18" s="37">
        <f>('Forest Management'!P47+'Forest Management'!P52)*UFactor</f>
        <v>0</v>
      </c>
      <c r="Q18" s="37">
        <f>('Forest Management'!Q47+'Forest Management'!Q52)*UFactor</f>
        <v>0</v>
      </c>
      <c r="R18" s="37">
        <f>('Forest Management'!R47+'Forest Management'!R52)*UFactor</f>
        <v>0</v>
      </c>
      <c r="S18" s="37">
        <f>('Forest Management'!S47+'Forest Management'!S52)*UFactor</f>
        <v>0</v>
      </c>
      <c r="T18" s="37">
        <f>('Forest Management'!T47+'Forest Management'!T52)*UFactor</f>
        <v>0</v>
      </c>
      <c r="U18" s="37">
        <f>('Forest Management'!U47+'Forest Management'!U52)*UFactor</f>
        <v>0</v>
      </c>
      <c r="V18" s="37">
        <f>('Forest Management'!V47+'Forest Management'!V52)*UFactor</f>
        <v>0</v>
      </c>
      <c r="W18" s="37">
        <f>('Forest Management'!W47+'Forest Management'!W52)*UFactor</f>
        <v>0</v>
      </c>
      <c r="X18" s="37">
        <f>('Forest Management'!X47+'Forest Management'!X52)*UFactor</f>
        <v>0</v>
      </c>
      <c r="Y18" s="37">
        <f>('Forest Management'!Y47+'Forest Management'!Y52)*UFactor</f>
        <v>0</v>
      </c>
      <c r="Z18" s="37">
        <f>('Forest Management'!Z47+'Forest Management'!Z52)*UFactor</f>
        <v>0</v>
      </c>
      <c r="AA18" s="37">
        <f>('Forest Management'!AA47+'Forest Management'!AA52)*UFactor</f>
        <v>0</v>
      </c>
      <c r="AB18" s="37">
        <f>('Forest Management'!AB47+'Forest Management'!AB52)*UFactor</f>
        <v>0</v>
      </c>
      <c r="AC18" s="37">
        <f>('Forest Management'!AC47+'Forest Management'!AC52)*UFactor</f>
        <v>0</v>
      </c>
      <c r="AD18" s="37">
        <f>('Forest Management'!AD47+'Forest Management'!AD52)*UFactor</f>
        <v>0</v>
      </c>
      <c r="AE18" s="37">
        <f>('Forest Management'!AE47+'Forest Management'!AE52)*UFactor</f>
        <v>0</v>
      </c>
      <c r="AF18" s="37">
        <f>('Forest Management'!AF47+'Forest Management'!AF52)*UFactor</f>
        <v>0</v>
      </c>
      <c r="AG18" s="37">
        <f>('Forest Management'!AG47+'Forest Management'!AG52)*UFactor</f>
        <v>0</v>
      </c>
      <c r="AH18" s="37">
        <f>('Forest Management'!AH47+'Forest Management'!AH52)*UFactor</f>
        <v>0</v>
      </c>
      <c r="AI18" s="37">
        <f>('Forest Management'!AI47+'Forest Management'!AI52)*UFactor</f>
        <v>0</v>
      </c>
      <c r="AJ18" s="37">
        <f>('Forest Management'!AJ47+'Forest Management'!AJ52)*UFactor</f>
        <v>0</v>
      </c>
      <c r="AK18" s="37">
        <f>('Forest Management'!AK47+'Forest Management'!AK52)*UFactor</f>
        <v>0</v>
      </c>
      <c r="AL18" s="37">
        <f>('Forest Management'!AL47+'Forest Management'!AL52)*UFactor</f>
        <v>0</v>
      </c>
    </row>
    <row r="19" spans="1:38">
      <c r="A19" s="122"/>
      <c r="B19" s="23" t="s">
        <v>221</v>
      </c>
      <c r="C19" s="37">
        <f>Waste!C5*UFactor</f>
        <v>10.138660692814389</v>
      </c>
      <c r="D19" s="37">
        <f>Waste!D5*UFactor</f>
        <v>10.330239864881969</v>
      </c>
      <c r="E19" s="37">
        <f>Waste!E5*UFactor</f>
        <v>10.68164016909946</v>
      </c>
      <c r="F19" s="37">
        <f>Waste!F5*UFactor</f>
        <v>10.973794724730368</v>
      </c>
      <c r="G19" s="37">
        <f>Waste!G5*UFactor</f>
        <v>11.175567222626427</v>
      </c>
      <c r="H19" s="37">
        <f>Waste!H5*UFactor</f>
        <v>11.478922071683447</v>
      </c>
      <c r="I19" s="37">
        <f>Waste!I5*UFactor</f>
        <v>11.611722615703426</v>
      </c>
      <c r="J19" s="37">
        <f>Waste!J5*UFactor</f>
        <v>11.371495676686024</v>
      </c>
      <c r="K19" s="37">
        <f>Waste!K5*UFactor</f>
        <v>10.268691533186461</v>
      </c>
      <c r="L19" s="37">
        <f>Waste!L5*UFactor</f>
        <v>9.924375606579618</v>
      </c>
      <c r="M19" s="37">
        <f>Waste!M5*UFactor</f>
        <v>8.9551503861872064</v>
      </c>
      <c r="N19" s="37">
        <f>Waste!N5*UFactor</f>
        <v>3.1767543165584313</v>
      </c>
      <c r="O19" s="37">
        <f>Waste!O5*UFactor</f>
        <v>5.4580927198451636</v>
      </c>
      <c r="P19" s="37">
        <f>Waste!P5*UFactor</f>
        <v>7.8493182708030371</v>
      </c>
      <c r="Q19" s="37">
        <f>Waste!Q5*UFactor</f>
        <v>8.2301993740487731</v>
      </c>
      <c r="R19" s="37">
        <f>Waste!R5*UFactor</f>
        <v>9.5121015767096342</v>
      </c>
      <c r="S19" s="37">
        <f>Waste!S5*UFactor</f>
        <v>10.809006236431602</v>
      </c>
      <c r="T19" s="37">
        <f>Waste!T5*UFactor</f>
        <v>11.754240735724323</v>
      </c>
      <c r="U19" s="37">
        <f>Waste!U5*UFactor</f>
        <v>11.752923681697323</v>
      </c>
      <c r="V19" s="37">
        <f>Waste!V5*UFactor</f>
        <v>10.895241129798389</v>
      </c>
      <c r="W19" s="37">
        <f>Waste!W5*UFactor</f>
        <v>10.572857574066449</v>
      </c>
      <c r="X19" s="37">
        <f>Waste!X5*UFactor</f>
        <v>10.233065441373251</v>
      </c>
      <c r="Y19" s="37">
        <f>Waste!Y5*UFactor</f>
        <v>8.6471991314852943</v>
      </c>
      <c r="Z19" s="37">
        <f>Waste!Z5*UFactor</f>
        <v>7.8235794135058496</v>
      </c>
      <c r="AA19" s="37">
        <f>Waste!AA5*UFactor</f>
        <v>7.8266013548536053</v>
      </c>
      <c r="AB19" s="37">
        <f>Waste!AB5*UFactor</f>
        <v>7.7268475586059999</v>
      </c>
      <c r="AC19" s="37">
        <f>Waste!AC5*UFactor</f>
        <v>7.9418372686387126</v>
      </c>
      <c r="AD19" s="37">
        <f>Waste!AD5*UFactor</f>
        <v>8.5783824107441013</v>
      </c>
      <c r="AE19" s="37">
        <f>Waste!AE5*UFactor</f>
        <v>8.0924761488891281</v>
      </c>
      <c r="AF19" s="37">
        <f>Waste!AF5*UFactor</f>
        <v>6.6280013006348639</v>
      </c>
      <c r="AG19" s="37">
        <f>Waste!AG5*UFactor</f>
        <v>5.5900148134842613</v>
      </c>
      <c r="AH19" s="37">
        <f>Waste!AH5*UFactor</f>
        <v>0</v>
      </c>
      <c r="AI19" s="37">
        <f>Waste!AI5*UFactor</f>
        <v>0</v>
      </c>
      <c r="AJ19" s="37">
        <f>Waste!AJ5*UFactor</f>
        <v>0</v>
      </c>
      <c r="AK19" s="37">
        <f>Waste!AK5*UFactor</f>
        <v>0</v>
      </c>
      <c r="AL19" s="37">
        <f>Waste!AL5*UFactor</f>
        <v>0</v>
      </c>
    </row>
    <row r="20" spans="1:38">
      <c r="A20" s="122"/>
      <c r="B20" s="23" t="s">
        <v>14</v>
      </c>
      <c r="C20" s="37">
        <f>(Wastewater!C5+Wastewater!C7+Wastewater!C13)*UFactor</f>
        <v>0.89142881897119652</v>
      </c>
      <c r="D20" s="37">
        <f>(Wastewater!D5+Wastewater!D7+Wastewater!D13)*UFactor</f>
        <v>0.89592774551169096</v>
      </c>
      <c r="E20" s="37">
        <f>(Wastewater!E5+Wastewater!E7+Wastewater!E13)*UFactor</f>
        <v>0.90550682751453104</v>
      </c>
      <c r="F20" s="37">
        <f>(Wastewater!F5+Wastewater!F7+Wastewater!F13)*UFactor</f>
        <v>0.90922429337785893</v>
      </c>
      <c r="G20" s="37">
        <f>(Wastewater!G5+Wastewater!G7+Wastewater!G13)*UFactor</f>
        <v>0.92734067539814369</v>
      </c>
      <c r="H20" s="37">
        <f>(Wastewater!H5+Wastewater!H7+Wastewater!H13)*UFactor</f>
        <v>0.93521561152289745</v>
      </c>
      <c r="I20" s="37">
        <f>(Wastewater!I5+Wastewater!I7+Wastewater!I13)*UFactor</f>
        <v>0.9357712583443053</v>
      </c>
      <c r="J20" s="37">
        <f>(Wastewater!J5+Wastewater!J7+Wastewater!J13)*UFactor</f>
        <v>0.94043190426947965</v>
      </c>
      <c r="K20" s="37">
        <f>(Wastewater!K5+Wastewater!K7+Wastewater!K13)*UFactor</f>
        <v>0.95251207614968136</v>
      </c>
      <c r="L20" s="37">
        <f>(Wastewater!L5+Wastewater!L7+Wastewater!L13)*UFactor</f>
        <v>0.95985991860443975</v>
      </c>
      <c r="M20" s="37">
        <f>(Wastewater!M5+Wastewater!M7+Wastewater!M13)*UFactor</f>
        <v>0.96770677531308458</v>
      </c>
      <c r="N20" s="37">
        <f>(Wastewater!N5+Wastewater!N7+Wastewater!N13)*UFactor</f>
        <v>0.97043123212610383</v>
      </c>
      <c r="O20" s="37">
        <f>(Wastewater!O5+Wastewater!O7+Wastewater!O13)*UFactor</f>
        <v>0.9722604822830927</v>
      </c>
      <c r="P20" s="37">
        <f>(Wastewater!P5+Wastewater!P7+Wastewater!P13)*UFactor</f>
        <v>0.96997505454470856</v>
      </c>
      <c r="Q20" s="37">
        <f>(Wastewater!Q5+Wastewater!Q7+Wastewater!Q13)*UFactor</f>
        <v>0.97752477774047009</v>
      </c>
      <c r="R20" s="37">
        <f>(Wastewater!R5+Wastewater!R7+Wastewater!R13)*UFactor</f>
        <v>0.97991814999990212</v>
      </c>
      <c r="S20" s="37">
        <f>(Wastewater!S5+Wastewater!S7+Wastewater!S13)*UFactor</f>
        <v>0.98440632859967969</v>
      </c>
      <c r="T20" s="37">
        <f>(Wastewater!T5+Wastewater!T7+Wastewater!T13)*UFactor</f>
        <v>0.99227827933426038</v>
      </c>
      <c r="U20" s="37">
        <f>(Wastewater!U5+Wastewater!U7+Wastewater!U13)*UFactor</f>
        <v>1.0015846422158301</v>
      </c>
      <c r="V20" s="37">
        <f>(Wastewater!V5+Wastewater!V7+Wastewater!V13)*UFactor</f>
        <v>0.99820893895007012</v>
      </c>
      <c r="W20" s="37">
        <f>(Wastewater!W5+Wastewater!W7+Wastewater!W13)*UFactor</f>
        <v>0.99752427458661574</v>
      </c>
      <c r="X20" s="37">
        <f>(Wastewater!X5+Wastewater!X7+Wastewater!X13)*UFactor</f>
        <v>1.0008566290591343</v>
      </c>
      <c r="Y20" s="37">
        <f>(Wastewater!Y5+Wastewater!Y7+Wastewater!Y13)*UFactor</f>
        <v>1.0093777609022347</v>
      </c>
      <c r="Z20" s="37">
        <f>(Wastewater!Z5+Wastewater!Z7+Wastewater!Z13)*UFactor</f>
        <v>1.0126286258858781</v>
      </c>
      <c r="AA20" s="37">
        <f>(Wastewater!AA5+Wastewater!AA7+Wastewater!AA13)*UFactor</f>
        <v>1.0113050042083291</v>
      </c>
      <c r="AB20" s="37">
        <f>(Wastewater!AB5+Wastewater!AB7+Wastewater!AB13)*UFactor</f>
        <v>1.0181236030615435</v>
      </c>
      <c r="AC20" s="37">
        <f>(Wastewater!AC5+Wastewater!AC7+Wastewater!AC13)*UFactor</f>
        <v>1.018483766191987</v>
      </c>
      <c r="AD20" s="37">
        <f>(Wastewater!AD5+Wastewater!AD7+Wastewater!AD13)*UFactor</f>
        <v>1.015762785462734</v>
      </c>
      <c r="AE20" s="37">
        <f>(Wastewater!AE5+Wastewater!AE7+Wastewater!AE13)*UFactor</f>
        <v>1.0125862772165275</v>
      </c>
      <c r="AF20" s="37">
        <f>(Wastewater!AF5+Wastewater!AF7+Wastewater!AF13)*UFactor</f>
        <v>1.0113235525806334</v>
      </c>
      <c r="AG20" s="37">
        <f>(Wastewater!AG5+Wastewater!AG7+Wastewater!AG13)*UFactor</f>
        <v>1.0071241328514235</v>
      </c>
      <c r="AH20" s="37">
        <f>(Wastewater!AH5+Wastewater!AH7+Wastewater!AH13)*UFactor</f>
        <v>0</v>
      </c>
      <c r="AI20" s="37">
        <f>(Wastewater!AI5+Wastewater!AI7+Wastewater!AI13)*UFactor</f>
        <v>0</v>
      </c>
      <c r="AJ20" s="37">
        <f>(Wastewater!AJ5+Wastewater!AJ7+Wastewater!AJ13)*UFactor</f>
        <v>0</v>
      </c>
      <c r="AK20" s="37">
        <f>(Wastewater!AK5+Wastewater!AK7+Wastewater!AK13)*UFactor</f>
        <v>0</v>
      </c>
      <c r="AL20" s="37">
        <f>(Wastewater!AL5+Wastewater!AL7+Wastewater!AL13)*UFactor</f>
        <v>0</v>
      </c>
    </row>
    <row r="21" spans="1:38">
      <c r="B21" s="129" t="s">
        <v>66</v>
      </c>
      <c r="C21" s="210">
        <f t="shared" ref="C21:AG21" si="6">SUM(C22:C28)</f>
        <v>25.677960705455835</v>
      </c>
      <c r="D21" s="210">
        <f t="shared" si="6"/>
        <v>24.436301333525979</v>
      </c>
      <c r="E21" s="210">
        <f t="shared" si="6"/>
        <v>25.219671356386385</v>
      </c>
      <c r="F21" s="210">
        <f t="shared" si="6"/>
        <v>26.928085092034539</v>
      </c>
      <c r="G21" s="210">
        <f t="shared" si="6"/>
        <v>26.001311528613261</v>
      </c>
      <c r="H21" s="210">
        <f t="shared" si="6"/>
        <v>24.859156572513694</v>
      </c>
      <c r="I21" s="210">
        <f t="shared" si="6"/>
        <v>26.027555402278509</v>
      </c>
      <c r="J21" s="210">
        <f t="shared" si="6"/>
        <v>24.7644279896287</v>
      </c>
      <c r="K21" s="210">
        <f t="shared" si="6"/>
        <v>25.59039968589288</v>
      </c>
      <c r="L21" s="210">
        <f t="shared" si="6"/>
        <v>25.034704342402058</v>
      </c>
      <c r="M21" s="210">
        <f t="shared" si="6"/>
        <v>24.538326262309955</v>
      </c>
      <c r="N21" s="210">
        <f t="shared" si="6"/>
        <v>25.336581689068467</v>
      </c>
      <c r="O21" s="210">
        <f t="shared" si="6"/>
        <v>24.523589894945605</v>
      </c>
      <c r="P21" s="210">
        <f t="shared" si="6"/>
        <v>23.661534317940163</v>
      </c>
      <c r="Q21" s="210">
        <f t="shared" si="6"/>
        <v>25.676216238198769</v>
      </c>
      <c r="R21" s="210">
        <f t="shared" si="6"/>
        <v>23.546224547387638</v>
      </c>
      <c r="S21" s="210">
        <f t="shared" si="6"/>
        <v>24.549579171430551</v>
      </c>
      <c r="T21" s="210">
        <f t="shared" si="6"/>
        <v>23.701484897980603</v>
      </c>
      <c r="U21" s="210">
        <f t="shared" si="6"/>
        <v>24.726353755789546</v>
      </c>
      <c r="V21" s="210">
        <f t="shared" si="6"/>
        <v>23.127604340190356</v>
      </c>
      <c r="W21" s="210">
        <f t="shared" si="6"/>
        <v>23.142279049620598</v>
      </c>
      <c r="X21" s="210">
        <f t="shared" si="6"/>
        <v>24.078967156892332</v>
      </c>
      <c r="Y21" s="210">
        <f t="shared" si="6"/>
        <v>21.944254498935994</v>
      </c>
      <c r="Z21" s="210">
        <f t="shared" si="6"/>
        <v>25.671304425199654</v>
      </c>
      <c r="AA21" s="210">
        <f t="shared" si="6"/>
        <v>27.125013264884998</v>
      </c>
      <c r="AB21" s="210">
        <f t="shared" si="6"/>
        <v>25.647345162986785</v>
      </c>
      <c r="AC21" s="210">
        <f t="shared" si="6"/>
        <v>24.784243009684641</v>
      </c>
      <c r="AD21" s="210">
        <f t="shared" si="6"/>
        <v>25.81283257444499</v>
      </c>
      <c r="AE21" s="210">
        <f t="shared" si="6"/>
        <v>28.000567508527592</v>
      </c>
      <c r="AF21" s="210">
        <f t="shared" si="6"/>
        <v>25.559099262734559</v>
      </c>
      <c r="AG21" s="210">
        <f t="shared" si="6"/>
        <v>24.517993323289822</v>
      </c>
      <c r="AH21" s="210">
        <f t="shared" ref="AH21:AL21" si="7">SUM(AH22:AH28)</f>
        <v>21.997690040529505</v>
      </c>
      <c r="AI21" s="210">
        <f t="shared" si="7"/>
        <v>0</v>
      </c>
      <c r="AJ21" s="210">
        <f t="shared" si="7"/>
        <v>0</v>
      </c>
      <c r="AK21" s="210">
        <f t="shared" si="7"/>
        <v>0</v>
      </c>
      <c r="AL21" s="210">
        <f t="shared" si="7"/>
        <v>0</v>
      </c>
    </row>
    <row r="22" spans="1:38">
      <c r="B22" s="23" t="s">
        <v>6</v>
      </c>
      <c r="C22" s="37">
        <f>Stationary!C16*UFactor</f>
        <v>0.40948338214999996</v>
      </c>
      <c r="D22" s="37">
        <f>Stationary!D16*UFactor</f>
        <v>0.41362034577749995</v>
      </c>
      <c r="E22" s="37">
        <f>Stationary!E16*UFactor</f>
        <v>0.39366119833999991</v>
      </c>
      <c r="F22" s="37">
        <f>Stationary!F16*UFactor</f>
        <v>0.42019620589999995</v>
      </c>
      <c r="G22" s="37">
        <f>Stationary!G16*UFactor</f>
        <v>0.42918212097749997</v>
      </c>
      <c r="H22" s="37">
        <f>Stationary!H16*UFactor</f>
        <v>0.43070203019999997</v>
      </c>
      <c r="I22" s="37">
        <f>Stationary!I16*UFactor</f>
        <v>0.47381429136999997</v>
      </c>
      <c r="J22" s="37">
        <f>Stationary!J16*UFactor</f>
        <v>0.48837756896250006</v>
      </c>
      <c r="K22" s="37">
        <f>Stationary!K16*UFactor</f>
        <v>0.46883539822999998</v>
      </c>
      <c r="L22" s="37">
        <f>Stationary!L16*UFactor</f>
        <v>0.47770695878499997</v>
      </c>
      <c r="M22" s="37">
        <f>Stationary!M16*UFactor</f>
        <v>0.49665552302499999</v>
      </c>
      <c r="N22" s="37">
        <f>Stationary!N16*UFactor</f>
        <v>0.48790511039999995</v>
      </c>
      <c r="O22" s="37">
        <f>Stationary!O16*UFactor</f>
        <v>0.49023401996999999</v>
      </c>
      <c r="P22" s="37">
        <f>Stationary!P16*UFactor</f>
        <v>0.49964282429999984</v>
      </c>
      <c r="Q22" s="37">
        <f>Stationary!Q16*UFactor</f>
        <v>0.52212145088999995</v>
      </c>
      <c r="R22" s="37">
        <f>Stationary!R16*UFactor</f>
        <v>0.50319261126250003</v>
      </c>
      <c r="S22" s="37">
        <f>Stationary!S16*UFactor</f>
        <v>0.49901435771999991</v>
      </c>
      <c r="T22" s="37">
        <f>Stationary!T16*UFactor</f>
        <v>0.51788745221249999</v>
      </c>
      <c r="U22" s="37">
        <f>Stationary!U16*UFactor</f>
        <v>0.52502344442499993</v>
      </c>
      <c r="V22" s="37">
        <f>Stationary!V16*UFactor</f>
        <v>0.48927317554999988</v>
      </c>
      <c r="W22" s="37">
        <f>Stationary!W16*UFactor</f>
        <v>0.51449703254000001</v>
      </c>
      <c r="X22" s="37">
        <f>Stationary!X16*UFactor</f>
        <v>0.50407112627750006</v>
      </c>
      <c r="Y22" s="37">
        <f>Stationary!Y16*UFactor</f>
        <v>0.46599262702749988</v>
      </c>
      <c r="Z22" s="37">
        <f>Stationary!Z16*UFactor</f>
        <v>0.49851270795000002</v>
      </c>
      <c r="AA22" s="37">
        <f>Stationary!AA16*UFactor</f>
        <v>0.49730552072249989</v>
      </c>
      <c r="AB22" s="37">
        <f>Stationary!AB16*UFactor</f>
        <v>0.41844355857249999</v>
      </c>
      <c r="AC22" s="37">
        <f>Stationary!AC16*UFactor</f>
        <v>0.360590404355</v>
      </c>
      <c r="AD22" s="37">
        <f>Stationary!AD16*UFactor</f>
        <v>0.35293806719499998</v>
      </c>
      <c r="AE22" s="37">
        <f>Stationary!AE16*UFactor</f>
        <v>0.36482225109999999</v>
      </c>
      <c r="AF22" s="37">
        <f>Stationary!AF16*UFactor</f>
        <v>0.32397621109999991</v>
      </c>
      <c r="AG22" s="37">
        <f>Stationary!AG16*UFactor</f>
        <v>0.24188339014999996</v>
      </c>
      <c r="AH22" s="37">
        <f>Stationary!AH16*UFactor</f>
        <v>0</v>
      </c>
      <c r="AI22" s="37">
        <f>Stationary!AI16*UFactor</f>
        <v>0</v>
      </c>
      <c r="AJ22" s="37">
        <f>Stationary!AJ16*UFactor</f>
        <v>0</v>
      </c>
      <c r="AK22" s="37">
        <f>Stationary!AK16*UFactor</f>
        <v>0</v>
      </c>
      <c r="AL22" s="37">
        <f>Stationary!AL16*UFactor</f>
        <v>0</v>
      </c>
    </row>
    <row r="23" spans="1:38">
      <c r="A23" s="122"/>
      <c r="B23" s="23" t="s">
        <v>7</v>
      </c>
      <c r="C23" s="37">
        <f>'Mobile Combustion'!C108/10^6*UFactor</f>
        <v>1.4875403682173298</v>
      </c>
      <c r="D23" s="37">
        <f>'Mobile Combustion'!D108/10^6*UFactor</f>
        <v>1.5724105621291458</v>
      </c>
      <c r="E23" s="37">
        <f>'Mobile Combustion'!E108/10^6*UFactor</f>
        <v>1.6666863897213338</v>
      </c>
      <c r="F23" s="37">
        <f>'Mobile Combustion'!F108/10^6*UFactor</f>
        <v>1.8128593107345854</v>
      </c>
      <c r="G23" s="37">
        <f>'Mobile Combustion'!G108/10^6*UFactor</f>
        <v>1.8440129482949617</v>
      </c>
      <c r="H23" s="37">
        <f>'Mobile Combustion'!H108/10^6*UFactor</f>
        <v>1.892809986292411</v>
      </c>
      <c r="I23" s="37">
        <f>'Mobile Combustion'!I108/10^6*UFactor</f>
        <v>1.9430698408278455</v>
      </c>
      <c r="J23" s="37">
        <f>'Mobile Combustion'!J108/10^6*UFactor</f>
        <v>1.9702907685260345</v>
      </c>
      <c r="K23" s="37">
        <f>'Mobile Combustion'!K108/10^6*UFactor</f>
        <v>1.992824817134571</v>
      </c>
      <c r="L23" s="37">
        <f>'Mobile Combustion'!L108/10^6*UFactor</f>
        <v>1.8899503800881086</v>
      </c>
      <c r="M23" s="37">
        <f>'Mobile Combustion'!M108/10^6*UFactor</f>
        <v>1.8406194585723812</v>
      </c>
      <c r="N23" s="37">
        <f>'Mobile Combustion'!N108/10^6*UFactor</f>
        <v>1.7122408601172727</v>
      </c>
      <c r="O23" s="37">
        <f>'Mobile Combustion'!O108/10^6*UFactor</f>
        <v>1.6464224347391134</v>
      </c>
      <c r="P23" s="37">
        <f>'Mobile Combustion'!P108/10^6*UFactor</f>
        <v>1.6041140320289899</v>
      </c>
      <c r="Q23" s="37">
        <f>'Mobile Combustion'!Q108/10^6*UFactor</f>
        <v>1.5177404214161847</v>
      </c>
      <c r="R23" s="37">
        <f>'Mobile Combustion'!R108/10^6*UFactor</f>
        <v>1.4716033589929383</v>
      </c>
      <c r="S23" s="37">
        <f>'Mobile Combustion'!S108/10^6*UFactor</f>
        <v>1.3630965365742913</v>
      </c>
      <c r="T23" s="37">
        <f>'Mobile Combustion'!T108/10^6*UFactor</f>
        <v>1.1833480119730997</v>
      </c>
      <c r="U23" s="37">
        <f>'Mobile Combustion'!U108/10^6*UFactor</f>
        <v>1.1068434074395814</v>
      </c>
      <c r="V23" s="37">
        <f>'Mobile Combustion'!V108/10^6*UFactor</f>
        <v>0.97500011329151215</v>
      </c>
      <c r="W23" s="37">
        <f>'Mobile Combustion'!W108/10^6*UFactor</f>
        <v>1.037892475778293</v>
      </c>
      <c r="X23" s="37">
        <f>'Mobile Combustion'!X108/10^6*UFactor</f>
        <v>0.98432734503070229</v>
      </c>
      <c r="Y23" s="37">
        <f>'Mobile Combustion'!Y108/10^6*UFactor</f>
        <v>0.93089005787514523</v>
      </c>
      <c r="Z23" s="37">
        <f>'Mobile Combustion'!Z108/10^6*UFactor</f>
        <v>0.86920938452923679</v>
      </c>
      <c r="AA23" s="37">
        <f>'Mobile Combustion'!AA108/10^6*UFactor</f>
        <v>0.81868595304086411</v>
      </c>
      <c r="AB23" s="37">
        <f>'Mobile Combustion'!AB108/10^6*UFactor</f>
        <v>0.73588061860807752</v>
      </c>
      <c r="AC23" s="37">
        <f>'Mobile Combustion'!AC108/10^6*UFactor</f>
        <v>0.70728883175147084</v>
      </c>
      <c r="AD23" s="37">
        <f>'Mobile Combustion'!AD108/10^6*UFactor</f>
        <v>0.67426933813328183</v>
      </c>
      <c r="AE23" s="37">
        <f>'Mobile Combustion'!AE108/10^6*UFactor</f>
        <v>0.6416569309809953</v>
      </c>
      <c r="AF23" s="37">
        <f>'Mobile Combustion'!AF108/10^6*UFactor</f>
        <v>0.65578969490975247</v>
      </c>
      <c r="AG23" s="37">
        <f>'Mobile Combustion'!AG108/10^6*UFactor</f>
        <v>0.52963670960885134</v>
      </c>
      <c r="AH23" s="37">
        <f>'Mobile Combustion'!AH108/10^6*UFactor</f>
        <v>0</v>
      </c>
      <c r="AI23" s="37">
        <f>'Mobile Combustion'!AI108/10^6*UFactor</f>
        <v>0</v>
      </c>
      <c r="AJ23" s="37">
        <f>'Mobile Combustion'!AJ108/10^6*UFactor</f>
        <v>0</v>
      </c>
      <c r="AK23" s="37">
        <f>'Mobile Combustion'!AK108/10^6*UFactor</f>
        <v>0</v>
      </c>
      <c r="AL23" s="37">
        <f>'Mobile Combustion'!AL108/10^6*UFactor</f>
        <v>0</v>
      </c>
    </row>
    <row r="24" spans="1:38">
      <c r="A24" s="122"/>
      <c r="B24" s="23" t="s">
        <v>10</v>
      </c>
      <c r="C24" s="37">
        <f>IP!C13/10^6*UFactor</f>
        <v>0</v>
      </c>
      <c r="D24" s="37">
        <f>IP!D13/10^6*UFactor</f>
        <v>0</v>
      </c>
      <c r="E24" s="37">
        <f>IP!E13/10^6*UFactor</f>
        <v>0</v>
      </c>
      <c r="F24" s="37">
        <f>IP!F13/10^6*UFactor</f>
        <v>0</v>
      </c>
      <c r="G24" s="37">
        <f>IP!G13/10^6*UFactor</f>
        <v>0</v>
      </c>
      <c r="H24" s="37">
        <f>IP!H13/10^6*UFactor</f>
        <v>0</v>
      </c>
      <c r="I24" s="37">
        <f>IP!I13/10^6*UFactor</f>
        <v>0</v>
      </c>
      <c r="J24" s="37">
        <f>IP!J13/10^6*UFactor</f>
        <v>0</v>
      </c>
      <c r="K24" s="37">
        <f>IP!K13/10^6*UFactor</f>
        <v>0</v>
      </c>
      <c r="L24" s="37">
        <f>IP!L13/10^6*UFactor</f>
        <v>0</v>
      </c>
      <c r="M24" s="37">
        <f>IP!M13/10^6*UFactor</f>
        <v>0</v>
      </c>
      <c r="N24" s="37">
        <f>IP!N13/10^6*UFactor</f>
        <v>0</v>
      </c>
      <c r="O24" s="37">
        <f>IP!O13/10^6*UFactor</f>
        <v>0</v>
      </c>
      <c r="P24" s="37">
        <f>IP!P13/10^6*UFactor</f>
        <v>0</v>
      </c>
      <c r="Q24" s="37">
        <f>IP!Q13/10^6*UFactor</f>
        <v>0</v>
      </c>
      <c r="R24" s="37">
        <f>IP!R13/10^6*UFactor</f>
        <v>0</v>
      </c>
      <c r="S24" s="37">
        <f>IP!S13/10^6*UFactor</f>
        <v>0</v>
      </c>
      <c r="T24" s="37">
        <f>IP!T13/10^6*UFactor</f>
        <v>0</v>
      </c>
      <c r="U24" s="37">
        <f>IP!U13/10^6*UFactor</f>
        <v>0</v>
      </c>
      <c r="V24" s="37">
        <f>IP!V13/10^6*UFactor</f>
        <v>0</v>
      </c>
      <c r="W24" s="37">
        <f>IP!W13/10^6*UFactor</f>
        <v>0</v>
      </c>
      <c r="X24" s="37">
        <f>IP!X13/10^6*UFactor</f>
        <v>0</v>
      </c>
      <c r="Y24" s="37">
        <f>IP!Y13/10^6*UFactor</f>
        <v>0</v>
      </c>
      <c r="Z24" s="37">
        <f>IP!Z13/10^6*UFactor</f>
        <v>0</v>
      </c>
      <c r="AA24" s="37">
        <f>IP!AA13/10^6*UFactor</f>
        <v>0</v>
      </c>
      <c r="AB24" s="37">
        <f>IP!AB13/10^6*UFactor</f>
        <v>0</v>
      </c>
      <c r="AC24" s="37">
        <f>IP!AC13/10^6*UFactor</f>
        <v>0</v>
      </c>
      <c r="AD24" s="37">
        <f>IP!AD13/10^6*UFactor</f>
        <v>0</v>
      </c>
      <c r="AE24" s="37">
        <f>IP!AE13/10^6*UFactor</f>
        <v>0</v>
      </c>
      <c r="AF24" s="37">
        <f>IP!AF13/10^6*UFactor</f>
        <v>0</v>
      </c>
      <c r="AG24" s="37">
        <f>IP!AG13/10^6*UFactor</f>
        <v>0</v>
      </c>
      <c r="AH24" s="37">
        <f>IP!AH13/10^6*UFactor</f>
        <v>0</v>
      </c>
      <c r="AI24" s="37">
        <f>IP!AI13/10^6*UFactor</f>
        <v>0</v>
      </c>
      <c r="AJ24" s="37">
        <f>IP!AJ13/10^6*UFactor</f>
        <v>0</v>
      </c>
      <c r="AK24" s="37">
        <f>IP!AK13/10^6*UFactor</f>
        <v>0</v>
      </c>
      <c r="AL24" s="37">
        <f>IP!AL13/10^6*UFactor</f>
        <v>0</v>
      </c>
    </row>
    <row r="25" spans="1:38">
      <c r="A25" s="122"/>
      <c r="B25" s="23" t="s">
        <v>11</v>
      </c>
      <c r="C25" s="37">
        <f>(Agriculture!C37*N2OGWP+Agriculture!C15)*UFactor</f>
        <v>23.126655827885592</v>
      </c>
      <c r="D25" s="37">
        <f>(Agriculture!D37*N2OGWP+Agriculture!D15)*UFactor</f>
        <v>21.770604103675147</v>
      </c>
      <c r="E25" s="37">
        <f>(Agriculture!E37*N2OGWP+Agriculture!E15)*UFactor</f>
        <v>22.498813309933567</v>
      </c>
      <c r="F25" s="37">
        <f>(Agriculture!F37*N2OGWP+Agriculture!F15)*UFactor</f>
        <v>24.031120511432512</v>
      </c>
      <c r="G25" s="37">
        <f>(Agriculture!G37*N2OGWP+Agriculture!G15)*UFactor</f>
        <v>23.035608494447438</v>
      </c>
      <c r="H25" s="37">
        <f>(Agriculture!H37*N2OGWP+Agriculture!H15)*UFactor</f>
        <v>21.857969363172973</v>
      </c>
      <c r="I25" s="37">
        <f>(Agriculture!I37*N2OGWP+Agriculture!I15)*UFactor</f>
        <v>22.895258655146961</v>
      </c>
      <c r="J25" s="37">
        <f>(Agriculture!J37*N2OGWP+Agriculture!J15)*UFactor</f>
        <v>21.608814155055736</v>
      </c>
      <c r="K25" s="37">
        <f>(Agriculture!K37*N2OGWP+Agriculture!K15)*UFactor</f>
        <v>22.426108972332237</v>
      </c>
      <c r="L25" s="37">
        <f>(Agriculture!L37*N2OGWP+Agriculture!L15)*UFactor</f>
        <v>21.962169369286144</v>
      </c>
      <c r="M25" s="37">
        <f>(Agriculture!M37*N2OGWP+Agriculture!M15)*UFactor</f>
        <v>21.522028874413611</v>
      </c>
      <c r="N25" s="37">
        <f>(Agriculture!N37*N2OGWP+Agriculture!N15)*UFactor</f>
        <v>22.474516151605116</v>
      </c>
      <c r="O25" s="37">
        <f>(Agriculture!O37*N2OGWP+Agriculture!O15)*UFactor</f>
        <v>21.733280211113318</v>
      </c>
      <c r="P25" s="37">
        <f>(Agriculture!P37*N2OGWP+Agriculture!P15)*UFactor</f>
        <v>20.889010857551924</v>
      </c>
      <c r="Q25" s="37">
        <f>(Agriculture!Q37*N2OGWP+Agriculture!Q15)*UFactor</f>
        <v>22.923256913435885</v>
      </c>
      <c r="R25" s="37">
        <f>(Agriculture!R37*N2OGWP+Agriculture!R15)*UFactor</f>
        <v>20.879448821048719</v>
      </c>
      <c r="S25" s="37">
        <f>(Agriculture!S37*N2OGWP+Agriculture!S15)*UFactor</f>
        <v>21.97319638000716</v>
      </c>
      <c r="T25" s="37">
        <f>(Agriculture!T37*N2OGWP+Agriculture!T15)*UFactor</f>
        <v>21.264027371572148</v>
      </c>
      <c r="U25" s="37">
        <f>(Agriculture!U37*N2OGWP+Agriculture!U15)*UFactor</f>
        <v>22.365393045528794</v>
      </c>
      <c r="V25" s="37">
        <f>(Agriculture!V37*N2OGWP+Agriculture!V15)*UFactor</f>
        <v>20.958660063518032</v>
      </c>
      <c r="W25" s="37">
        <f>(Agriculture!W37*N2OGWP+Agriculture!W15)*UFactor</f>
        <v>20.906000433673618</v>
      </c>
      <c r="X25" s="37">
        <f>(Agriculture!X37*N2OGWP+Agriculture!X15)*UFactor</f>
        <v>21.843811195216375</v>
      </c>
      <c r="Y25" s="37">
        <f>(Agriculture!Y37*N2OGWP+Agriculture!Y15)*UFactor</f>
        <v>19.789279645560466</v>
      </c>
      <c r="Z25" s="37">
        <f>(Agriculture!Z37*N2OGWP+Agriculture!Z15)*UFactor</f>
        <v>23.562659206657973</v>
      </c>
      <c r="AA25" s="37">
        <f>(Agriculture!AA37*N2OGWP+Agriculture!AA15)*UFactor</f>
        <v>25.046568397742824</v>
      </c>
      <c r="AB25" s="37">
        <f>(Agriculture!AB37*N2OGWP+Agriculture!AB15)*UFactor</f>
        <v>23.727687459500711</v>
      </c>
      <c r="AC25" s="37">
        <f>(Agriculture!AC37*N2OGWP+Agriculture!AC15)*UFactor</f>
        <v>22.950919508332738</v>
      </c>
      <c r="AD25" s="37">
        <f>(Agriculture!AD37*N2OGWP+Agriculture!AD15)*UFactor</f>
        <v>24.019812104022353</v>
      </c>
      <c r="AE25" s="37">
        <f>(Agriculture!AE37*N2OGWP+Agriculture!AE15)*UFactor</f>
        <v>26.228278455182394</v>
      </c>
      <c r="AF25" s="37">
        <f>(Agriculture!AF37*N2OGWP+Agriculture!AF15)*UFactor</f>
        <v>23.818907455101854</v>
      </c>
      <c r="AG25" s="37">
        <f>(Agriculture!AG37*N2OGWP+Agriculture!AG15)*UFactor</f>
        <v>22.988042543133762</v>
      </c>
      <c r="AH25" s="37">
        <f>(Agriculture!AH37*N2OGWP+Agriculture!AH15)*UFactor</f>
        <v>21.997690040529505</v>
      </c>
      <c r="AI25" s="37">
        <f>(Agriculture!AI37*N2OGWP+Agriculture!AI15)*UFactor</f>
        <v>0</v>
      </c>
      <c r="AJ25" s="37">
        <f>(Agriculture!AJ37*N2OGWP+Agriculture!AJ15)*UFactor</f>
        <v>0</v>
      </c>
      <c r="AK25" s="37">
        <f>(Agriculture!AK37*N2OGWP+Agriculture!AK15)*UFactor</f>
        <v>0</v>
      </c>
      <c r="AL25" s="37">
        <f>(Agriculture!AL37*N2OGWP+Agriculture!AL15)*UFactor</f>
        <v>0</v>
      </c>
    </row>
    <row r="26" spans="1:38">
      <c r="A26" s="122"/>
      <c r="B26" s="23" t="s">
        <v>220</v>
      </c>
      <c r="C26" s="37">
        <f>('Forest Management'!C48+'Forest Management'!C49+'Forest Management'!C53)*UFactor</f>
        <v>0.35335184608777831</v>
      </c>
      <c r="D26" s="37">
        <f>('Forest Management'!D48+'Forest Management'!D49+'Forest Management'!D53)*UFactor</f>
        <v>0.37290614589720966</v>
      </c>
      <c r="E26" s="37">
        <f>('Forest Management'!E48+'Forest Management'!E49+'Forest Management'!E53)*UFactor</f>
        <v>0.34808838348910698</v>
      </c>
      <c r="F26" s="37">
        <f>('Forest Management'!F48+'Forest Management'!F49+'Forest Management'!F53)*UFactor</f>
        <v>0.34829916452630211</v>
      </c>
      <c r="G26" s="37">
        <f>('Forest Management'!G48+'Forest Management'!G49+'Forest Management'!G53)*UFactor</f>
        <v>0.36903447281047042</v>
      </c>
      <c r="H26" s="37">
        <f>('Forest Management'!H48+'Forest Management'!H49+'Forest Management'!H53)*UFactor</f>
        <v>0.35608195068595</v>
      </c>
      <c r="I26" s="37">
        <f>('Forest Management'!I48+'Forest Management'!I49+'Forest Management'!I53)*UFactor</f>
        <v>0.38884853252881008</v>
      </c>
      <c r="J26" s="37">
        <f>('Forest Management'!J48+'Forest Management'!J49+'Forest Management'!J53)*UFactor</f>
        <v>0.37233902609608538</v>
      </c>
      <c r="K26" s="37">
        <f>('Forest Management'!K48+'Forest Management'!K49+'Forest Management'!K53)*UFactor</f>
        <v>0.37151775638408541</v>
      </c>
      <c r="L26" s="37">
        <f>('Forest Management'!L48+'Forest Management'!L49+'Forest Management'!L53)*UFactor</f>
        <v>0.36451033995253346</v>
      </c>
      <c r="M26" s="37">
        <f>('Forest Management'!M48+'Forest Management'!M49+'Forest Management'!M53)*UFactor</f>
        <v>0.33803925256865763</v>
      </c>
      <c r="N26" s="37">
        <f>('Forest Management'!N48+'Forest Management'!N49+'Forest Management'!N53)*UFactor</f>
        <v>0.32567213468329409</v>
      </c>
      <c r="O26" s="37">
        <f>('Forest Management'!O48+'Forest Management'!O49+'Forest Management'!O53)*UFactor</f>
        <v>0.3146595763229183</v>
      </c>
      <c r="P26" s="37">
        <f>('Forest Management'!P48+'Forest Management'!P49+'Forest Management'!P53)*UFactor</f>
        <v>0.32627516224960423</v>
      </c>
      <c r="Q26" s="37">
        <f>('Forest Management'!Q48+'Forest Management'!Q49+'Forest Management'!Q53)*UFactor</f>
        <v>0.36700406907804106</v>
      </c>
      <c r="R26" s="37">
        <f>('Forest Management'!R48+'Forest Management'!R49+'Forest Management'!R53)*UFactor</f>
        <v>0.35070332257210907</v>
      </c>
      <c r="S26" s="37">
        <f>('Forest Management'!S48+'Forest Management'!S49+'Forest Management'!S53)*UFactor</f>
        <v>0.36938146157767837</v>
      </c>
      <c r="T26" s="37">
        <f>('Forest Management'!T48+'Forest Management'!T49+'Forest Management'!T53)*UFactor</f>
        <v>0.39261911231766711</v>
      </c>
      <c r="U26" s="37">
        <f>('Forest Management'!U48+'Forest Management'!U49+'Forest Management'!U53)*UFactor</f>
        <v>0.38953470895485076</v>
      </c>
      <c r="V26" s="37">
        <f>('Forest Management'!V48+'Forest Management'!V49+'Forest Management'!V53)*UFactor</f>
        <v>0.36651180591733279</v>
      </c>
      <c r="W26" s="37">
        <f>('Forest Management'!W48+'Forest Management'!W49+'Forest Management'!W53)*UFactor</f>
        <v>0.34457336795396287</v>
      </c>
      <c r="X26" s="37">
        <f>('Forest Management'!X48+'Forest Management'!X49+'Forest Management'!X53)*UFactor</f>
        <v>0.41355344034426617</v>
      </c>
      <c r="Y26" s="37">
        <f>('Forest Management'!Y48+'Forest Management'!Y49+'Forest Management'!Y53)*UFactor</f>
        <v>0.42134749668773969</v>
      </c>
      <c r="Z26" s="37">
        <f>('Forest Management'!Z48+'Forest Management'!Z49+'Forest Management'!Z53)*UFactor</f>
        <v>0.40408286940870697</v>
      </c>
      <c r="AA26" s="37">
        <f>('Forest Management'!AA48+'Forest Management'!AA49+'Forest Management'!AA53)*UFactor</f>
        <v>0.42161798548177443</v>
      </c>
      <c r="AB26" s="37">
        <f>('Forest Management'!AB48+'Forest Management'!AB49+'Forest Management'!AB53)*UFactor</f>
        <v>0.42161798548177443</v>
      </c>
      <c r="AC26" s="37">
        <f>('Forest Management'!AC48+'Forest Management'!AC49+'Forest Management'!AC53)*UFactor</f>
        <v>0.42161798548177443</v>
      </c>
      <c r="AD26" s="37">
        <f>('Forest Management'!AD48+'Forest Management'!AD49+'Forest Management'!AD53)*UFactor</f>
        <v>0.42161798548177443</v>
      </c>
      <c r="AE26" s="37">
        <f>('Forest Management'!AE48+'Forest Management'!AE49+'Forest Management'!AE53)*UFactor</f>
        <v>0.42161798548177443</v>
      </c>
      <c r="AF26" s="37">
        <f>('Forest Management'!AF48+'Forest Management'!AF49+'Forest Management'!AF53)*UFactor</f>
        <v>0.42161798548177443</v>
      </c>
      <c r="AG26" s="37">
        <f>('Forest Management'!AG48+'Forest Management'!AG49+'Forest Management'!AG53)*UFactor</f>
        <v>0.42161798548177443</v>
      </c>
      <c r="AH26" s="37">
        <f>('Forest Management'!AH48+'Forest Management'!AH49+'Forest Management'!AH53)*UFactor</f>
        <v>0</v>
      </c>
      <c r="AI26" s="37">
        <f>('Forest Management'!AI48+'Forest Management'!AI49+'Forest Management'!AI53)*UFactor</f>
        <v>0</v>
      </c>
      <c r="AJ26" s="37">
        <f>('Forest Management'!AJ48+'Forest Management'!AJ49+'Forest Management'!AJ53)*UFactor</f>
        <v>0</v>
      </c>
      <c r="AK26" s="37">
        <f>('Forest Management'!AK48+'Forest Management'!AK49+'Forest Management'!AK53)*UFactor</f>
        <v>0</v>
      </c>
      <c r="AL26" s="37">
        <f>('Forest Management'!AL48+'Forest Management'!AL49+'Forest Management'!AL53)*UFactor</f>
        <v>0</v>
      </c>
    </row>
    <row r="27" spans="1:38">
      <c r="A27" s="122"/>
      <c r="B27" s="23" t="s">
        <v>221</v>
      </c>
      <c r="C27" s="37">
        <f>Waste!C7*UFactor</f>
        <v>3.1492918249100086E-3</v>
      </c>
      <c r="D27" s="37">
        <f>Waste!D7*UFactor</f>
        <v>3.5098977590600098E-3</v>
      </c>
      <c r="E27" s="37">
        <f>Waste!E7*UFactor</f>
        <v>3.3993119392540091E-3</v>
      </c>
      <c r="F27" s="37">
        <f>Waste!F7*UFactor</f>
        <v>3.5377846179676094E-3</v>
      </c>
      <c r="G27" s="37">
        <f>Waste!G7*UFactor</f>
        <v>3.6060593415000093E-3</v>
      </c>
      <c r="H27" s="37">
        <f>Waste!H7*UFactor</f>
        <v>1.7091519258929544E-3</v>
      </c>
      <c r="I27" s="37">
        <f>Waste!I7*UFactor</f>
        <v>1.6107065058700042E-3</v>
      </c>
      <c r="J27" s="37">
        <f>Waste!J7*UFactor</f>
        <v>0</v>
      </c>
      <c r="K27" s="37">
        <f>Waste!K7*UFactor</f>
        <v>1.598686308065004E-3</v>
      </c>
      <c r="L27" s="37">
        <f>Waste!L7*UFactor</f>
        <v>3.2490594666915091E-3</v>
      </c>
      <c r="M27" s="37">
        <f>Waste!M7*UFactor</f>
        <v>1.8152902725111048E-3</v>
      </c>
      <c r="N27" s="37">
        <f>Waste!N7*UFactor</f>
        <v>9.1745635225943319E-4</v>
      </c>
      <c r="O27" s="37">
        <f>Waste!O7*UFactor</f>
        <v>0</v>
      </c>
      <c r="P27" s="37">
        <f>Waste!P7*UFactor</f>
        <v>0</v>
      </c>
      <c r="Q27" s="37">
        <f>Waste!Q7*UFactor</f>
        <v>0</v>
      </c>
      <c r="R27" s="37">
        <f>Waste!R7*UFactor</f>
        <v>0</v>
      </c>
      <c r="S27" s="37">
        <f>Waste!S7*UFactor</f>
        <v>0</v>
      </c>
      <c r="T27" s="37">
        <f>Waste!T7*UFactor</f>
        <v>0</v>
      </c>
      <c r="U27" s="37">
        <f>Waste!U7*UFactor</f>
        <v>0</v>
      </c>
      <c r="V27" s="37">
        <f>Waste!V7*UFactor</f>
        <v>0</v>
      </c>
      <c r="W27" s="37">
        <f>Waste!W7*UFactor</f>
        <v>0</v>
      </c>
      <c r="X27" s="37">
        <f>Waste!X7*UFactor</f>
        <v>0</v>
      </c>
      <c r="Y27" s="37">
        <f>Waste!Y7*UFactor</f>
        <v>0</v>
      </c>
      <c r="Z27" s="37">
        <f>Waste!Z7*UFactor</f>
        <v>0</v>
      </c>
      <c r="AA27" s="37">
        <f>Waste!AA7*UFactor</f>
        <v>0</v>
      </c>
      <c r="AB27" s="37">
        <f>Waste!AB7*UFactor</f>
        <v>0</v>
      </c>
      <c r="AC27" s="37">
        <f>Waste!AC7*UFactor</f>
        <v>0</v>
      </c>
      <c r="AD27" s="37">
        <f>Waste!AD7*UFactor</f>
        <v>0</v>
      </c>
      <c r="AE27" s="37">
        <f>Waste!AE7*UFactor</f>
        <v>0</v>
      </c>
      <c r="AF27" s="37">
        <f>Waste!AF7*UFactor</f>
        <v>0</v>
      </c>
      <c r="AG27" s="37">
        <f>Waste!AG7*UFactor</f>
        <v>0</v>
      </c>
      <c r="AH27" s="37">
        <f>Waste!AH7*UFactor</f>
        <v>0</v>
      </c>
      <c r="AI27" s="37">
        <f>Waste!AI7*UFactor</f>
        <v>0</v>
      </c>
      <c r="AJ27" s="37">
        <f>Waste!AJ7*UFactor</f>
        <v>0</v>
      </c>
      <c r="AK27" s="37">
        <f>Waste!AK7*UFactor</f>
        <v>0</v>
      </c>
      <c r="AL27" s="37">
        <f>Waste!AL7*UFactor</f>
        <v>0</v>
      </c>
    </row>
    <row r="28" spans="1:38">
      <c r="A28" s="122"/>
      <c r="B28" s="23" t="s">
        <v>14</v>
      </c>
      <c r="C28" s="37">
        <f>(Wastewater!C6+Wastewater!C12)*UFactor</f>
        <v>0.29777998929022331</v>
      </c>
      <c r="D28" s="37">
        <f>(Wastewater!D6+Wastewater!D12)*UFactor</f>
        <v>0.30325027828791473</v>
      </c>
      <c r="E28" s="37">
        <f>(Wastewater!E6+Wastewater!E12)*UFactor</f>
        <v>0.30902276296312259</v>
      </c>
      <c r="F28" s="37">
        <f>(Wastewater!F6+Wastewater!F12)*UFactor</f>
        <v>0.31207211482316938</v>
      </c>
      <c r="G28" s="37">
        <f>(Wastewater!G6+Wastewater!G12)*UFactor</f>
        <v>0.31986743274139384</v>
      </c>
      <c r="H28" s="37">
        <f>(Wastewater!H6+Wastewater!H12)*UFactor</f>
        <v>0.3198840902364638</v>
      </c>
      <c r="I28" s="37">
        <f>(Wastewater!I6+Wastewater!I12)*UFactor</f>
        <v>0.3249533758990219</v>
      </c>
      <c r="J28" s="37">
        <f>(Wastewater!J6+Wastewater!J12)*UFactor</f>
        <v>0.32460647098834183</v>
      </c>
      <c r="K28" s="37">
        <f>(Wastewater!K6+Wastewater!K12)*UFactor</f>
        <v>0.32951405550392093</v>
      </c>
      <c r="L28" s="37">
        <f>(Wastewater!L6+Wastewater!L12)*UFactor</f>
        <v>0.33711823482357672</v>
      </c>
      <c r="M28" s="37">
        <f>(Wastewater!M6+Wastewater!M12)*UFactor</f>
        <v>0.3391678634577952</v>
      </c>
      <c r="N28" s="37">
        <f>(Wastewater!N6+Wastewater!N12)*UFactor</f>
        <v>0.33532997591052627</v>
      </c>
      <c r="O28" s="37">
        <f>(Wastewater!O6+Wastewater!O12)*UFactor</f>
        <v>0.33899365280026006</v>
      </c>
      <c r="P28" s="37">
        <f>(Wastewater!P6+Wastewater!P12)*UFactor</f>
        <v>0.34249144180964514</v>
      </c>
      <c r="Q28" s="37">
        <f>(Wastewater!Q6+Wastewater!Q12)*UFactor</f>
        <v>0.34609338337865908</v>
      </c>
      <c r="R28" s="37">
        <f>(Wastewater!R6+Wastewater!R12)*UFactor</f>
        <v>0.34127643351137121</v>
      </c>
      <c r="S28" s="37">
        <f>(Wastewater!S6+Wastewater!S12)*UFactor</f>
        <v>0.34489043555142224</v>
      </c>
      <c r="T28" s="37">
        <f>(Wastewater!T6+Wastewater!T12)*UFactor</f>
        <v>0.34360294990518786</v>
      </c>
      <c r="U28" s="37">
        <f>(Wastewater!U6+Wastewater!U12)*UFactor</f>
        <v>0.33955914944131638</v>
      </c>
      <c r="V28" s="37">
        <f>(Wastewater!V6+Wastewater!V12)*UFactor</f>
        <v>0.33815918191347949</v>
      </c>
      <c r="W28" s="37">
        <f>(Wastewater!W6+Wastewater!W12)*UFactor</f>
        <v>0.33931573967472267</v>
      </c>
      <c r="X28" s="37">
        <f>(Wastewater!X6+Wastewater!X12)*UFactor</f>
        <v>0.33320405002348863</v>
      </c>
      <c r="Y28" s="37">
        <f>(Wastewater!Y6+Wastewater!Y12)*UFactor</f>
        <v>0.3367446717851415</v>
      </c>
      <c r="Z28" s="37">
        <f>(Wastewater!Z6+Wastewater!Z12)*UFactor</f>
        <v>0.33684025665373679</v>
      </c>
      <c r="AA28" s="37">
        <f>(Wastewater!AA6+Wastewater!AA12)*UFactor</f>
        <v>0.3408354078970337</v>
      </c>
      <c r="AB28" s="37">
        <f>(Wastewater!AB6+Wastewater!AB12)*UFactor</f>
        <v>0.34371554082372452</v>
      </c>
      <c r="AC28" s="37">
        <f>(Wastewater!AC6+Wastewater!AC12)*UFactor</f>
        <v>0.34382627976365848</v>
      </c>
      <c r="AD28" s="37">
        <f>(Wastewater!AD6+Wastewater!AD12)*UFactor</f>
        <v>0.34419507961258111</v>
      </c>
      <c r="AE28" s="37">
        <f>(Wastewater!AE6+Wastewater!AE12)*UFactor</f>
        <v>0.34419188578243037</v>
      </c>
      <c r="AF28" s="37">
        <f>(Wastewater!AF6+Wastewater!AF12)*UFactor</f>
        <v>0.33880791614117928</v>
      </c>
      <c r="AG28" s="37">
        <f>(Wastewater!AG6+Wastewater!AG12)*UFactor</f>
        <v>0.3368126949154352</v>
      </c>
      <c r="AH28" s="37">
        <f>(Wastewater!AH6+Wastewater!AH12)*UFactor</f>
        <v>0</v>
      </c>
      <c r="AI28" s="37">
        <f>(Wastewater!AI6+Wastewater!AI12)*UFactor</f>
        <v>0</v>
      </c>
      <c r="AJ28" s="37">
        <f>(Wastewater!AJ6+Wastewater!AJ12)*UFactor</f>
        <v>0</v>
      </c>
      <c r="AK28" s="37">
        <f>(Wastewater!AK6+Wastewater!AK12)*UFactor</f>
        <v>0</v>
      </c>
      <c r="AL28" s="37">
        <f>(Wastewater!AL6+Wastewater!AL12)*UFactor</f>
        <v>0</v>
      </c>
    </row>
    <row r="29" spans="1:38">
      <c r="B29" s="344" t="s">
        <v>125</v>
      </c>
      <c r="C29" s="345">
        <f>C30</f>
        <v>0.99394540829774081</v>
      </c>
      <c r="D29" s="345">
        <f t="shared" ref="D29:L29" si="8">D30</f>
        <v>0.99067246048659274</v>
      </c>
      <c r="E29" s="345">
        <f t="shared" si="8"/>
        <v>1.0099566154143986</v>
      </c>
      <c r="F29" s="345">
        <f t="shared" si="8"/>
        <v>1.1969466250931935</v>
      </c>
      <c r="G29" s="345">
        <f t="shared" si="8"/>
        <v>1.5700507714815326</v>
      </c>
      <c r="H29" s="345">
        <f t="shared" si="8"/>
        <v>2.3497105439309989</v>
      </c>
      <c r="I29" s="345">
        <f t="shared" si="8"/>
        <v>2.8611911731790185</v>
      </c>
      <c r="J29" s="345">
        <f t="shared" si="8"/>
        <v>3.3665966790034254</v>
      </c>
      <c r="K29" s="345">
        <f t="shared" si="8"/>
        <v>3.682186184405511</v>
      </c>
      <c r="L29" s="345">
        <f t="shared" si="8"/>
        <v>4.1256067726448249</v>
      </c>
      <c r="M29" s="345">
        <f t="shared" ref="M29:AL29" si="9">M30</f>
        <v>4.4423809976349107</v>
      </c>
      <c r="N29" s="345">
        <f t="shared" si="9"/>
        <v>4.7560250800276007</v>
      </c>
      <c r="O29" s="345">
        <f t="shared" si="9"/>
        <v>4.9442431666068689</v>
      </c>
      <c r="P29" s="345">
        <f t="shared" si="9"/>
        <v>5.0829174693225934</v>
      </c>
      <c r="Q29" s="345">
        <f t="shared" si="9"/>
        <v>5.2116235564449029</v>
      </c>
      <c r="R29" s="345">
        <f t="shared" si="9"/>
        <v>5.3589716549770712</v>
      </c>
      <c r="S29" s="345">
        <f t="shared" si="9"/>
        <v>5.5743062798414718</v>
      </c>
      <c r="T29" s="345">
        <f t="shared" si="9"/>
        <v>5.8586265258187833</v>
      </c>
      <c r="U29" s="345">
        <f t="shared" si="9"/>
        <v>6.2221682781912824</v>
      </c>
      <c r="V29" s="345">
        <f t="shared" si="9"/>
        <v>5.4575487892822565</v>
      </c>
      <c r="W29" s="345">
        <f t="shared" si="9"/>
        <v>6.9126058429003772</v>
      </c>
      <c r="X29" s="345">
        <f t="shared" si="9"/>
        <v>6.7800999295717288</v>
      </c>
      <c r="Y29" s="345">
        <f t="shared" si="9"/>
        <v>7.2211791862668795</v>
      </c>
      <c r="Z29" s="345">
        <f t="shared" si="9"/>
        <v>6.4522805204107803</v>
      </c>
      <c r="AA29" s="345">
        <f t="shared" si="9"/>
        <v>6.2057614521048308</v>
      </c>
      <c r="AB29" s="345">
        <f t="shared" si="9"/>
        <v>6.2705355197389823</v>
      </c>
      <c r="AC29" s="345">
        <f t="shared" si="9"/>
        <v>6.2518994634456231</v>
      </c>
      <c r="AD29" s="345">
        <f t="shared" si="9"/>
        <v>6.1685684270592613</v>
      </c>
      <c r="AE29" s="345">
        <f t="shared" si="9"/>
        <v>6.1408654239072247</v>
      </c>
      <c r="AF29" s="345">
        <f t="shared" si="9"/>
        <v>6.2303038335552499</v>
      </c>
      <c r="AG29" s="345">
        <f t="shared" si="9"/>
        <v>6.2796792521486804</v>
      </c>
      <c r="AH29" s="345">
        <f t="shared" si="9"/>
        <v>0</v>
      </c>
      <c r="AI29" s="345">
        <f t="shared" si="9"/>
        <v>0</v>
      </c>
      <c r="AJ29" s="345">
        <f t="shared" si="9"/>
        <v>0</v>
      </c>
      <c r="AK29" s="345">
        <f t="shared" si="9"/>
        <v>0</v>
      </c>
      <c r="AL29" s="345">
        <f t="shared" si="9"/>
        <v>0</v>
      </c>
    </row>
    <row r="30" spans="1:38">
      <c r="B30" s="23" t="s">
        <v>10</v>
      </c>
      <c r="C30" s="37">
        <f>IP!C16/10^6*UFactor</f>
        <v>0.99394540829774081</v>
      </c>
      <c r="D30" s="37">
        <f>IP!D16/10^6*UFactor</f>
        <v>0.99067246048659274</v>
      </c>
      <c r="E30" s="37">
        <f>IP!E16/10^6*UFactor</f>
        <v>1.0099566154143986</v>
      </c>
      <c r="F30" s="37">
        <f>IP!F16/10^6*UFactor</f>
        <v>1.1969466250931935</v>
      </c>
      <c r="G30" s="37">
        <f>IP!G16/10^6*UFactor</f>
        <v>1.5700507714815326</v>
      </c>
      <c r="H30" s="37">
        <f>IP!H16/10^6*UFactor</f>
        <v>2.3497105439309989</v>
      </c>
      <c r="I30" s="37">
        <f>IP!I16/10^6*UFactor</f>
        <v>2.8611911731790185</v>
      </c>
      <c r="J30" s="37">
        <f>IP!J16/10^6*UFactor</f>
        <v>3.3665966790034254</v>
      </c>
      <c r="K30" s="37">
        <f>IP!K16/10^6*UFactor</f>
        <v>3.682186184405511</v>
      </c>
      <c r="L30" s="37">
        <f>IP!L16/10^6*UFactor</f>
        <v>4.1256067726448249</v>
      </c>
      <c r="M30" s="37">
        <f>IP!M16/10^6*UFactor</f>
        <v>4.4423809976349107</v>
      </c>
      <c r="N30" s="37">
        <f>IP!N16/10^6*UFactor</f>
        <v>4.7560250800276007</v>
      </c>
      <c r="O30" s="37">
        <f>IP!O16/10^6*UFactor</f>
        <v>4.9442431666068689</v>
      </c>
      <c r="P30" s="37">
        <f>IP!P16/10^6*UFactor</f>
        <v>5.0829174693225934</v>
      </c>
      <c r="Q30" s="37">
        <f>IP!Q16/10^6*UFactor</f>
        <v>5.2116235564449029</v>
      </c>
      <c r="R30" s="37">
        <f>IP!R16/10^6*UFactor</f>
        <v>5.3589716549770712</v>
      </c>
      <c r="S30" s="37">
        <f>IP!S16/10^6*UFactor</f>
        <v>5.5743062798414718</v>
      </c>
      <c r="T30" s="37">
        <f>IP!T16/10^6*UFactor</f>
        <v>5.8586265258187833</v>
      </c>
      <c r="U30" s="37">
        <f>IP!U16/10^6*UFactor</f>
        <v>6.2221682781912824</v>
      </c>
      <c r="V30" s="37">
        <f>IP!V16/10^6*UFactor</f>
        <v>5.4575487892822565</v>
      </c>
      <c r="W30" s="37">
        <f>IP!W16/10^6*UFactor</f>
        <v>6.9126058429003772</v>
      </c>
      <c r="X30" s="37">
        <f>IP!X16/10^6*UFactor</f>
        <v>6.7800999295717288</v>
      </c>
      <c r="Y30" s="37">
        <f>IP!Y16/10^6*UFactor</f>
        <v>7.2211791862668795</v>
      </c>
      <c r="Z30" s="37">
        <f>IP!Z16/10^6*UFactor</f>
        <v>6.4522805204107803</v>
      </c>
      <c r="AA30" s="37">
        <f>IP!AA16/10^6*UFactor</f>
        <v>6.2057614521048308</v>
      </c>
      <c r="AB30" s="37">
        <f>IP!AB16/10^6*UFactor</f>
        <v>6.2705355197389823</v>
      </c>
      <c r="AC30" s="37">
        <f>IP!AC16/10^6*UFactor</f>
        <v>6.2518994634456231</v>
      </c>
      <c r="AD30" s="37">
        <f>IP!AD16/10^6*UFactor</f>
        <v>6.1685684270592613</v>
      </c>
      <c r="AE30" s="37">
        <f>IP!AE16/10^6*UFactor</f>
        <v>6.1408654239072247</v>
      </c>
      <c r="AF30" s="37">
        <f>IP!AF16/10^6*UFactor</f>
        <v>6.2303038335552499</v>
      </c>
      <c r="AG30" s="37">
        <f>IP!AG16/10^6*UFactor</f>
        <v>6.2796792521486804</v>
      </c>
      <c r="AH30" s="37">
        <f>IP!AH16/10^6*UFactor</f>
        <v>0</v>
      </c>
      <c r="AI30" s="37">
        <f>IP!AI16/10^6*UFactor</f>
        <v>0</v>
      </c>
      <c r="AJ30" s="37">
        <f>IP!AJ16/10^6*UFactor</f>
        <v>0</v>
      </c>
      <c r="AK30" s="37">
        <f>IP!AK16/10^6*UFactor</f>
        <v>0</v>
      </c>
      <c r="AL30" s="37">
        <f>IP!AL16/10^6*UFactor</f>
        <v>0</v>
      </c>
    </row>
    <row r="31" spans="1:38" ht="16" thickBot="1">
      <c r="B31" s="234" t="s">
        <v>236</v>
      </c>
      <c r="C31" s="235">
        <f>'Summary by Sector'!C17</f>
        <v>60.902596300306897</v>
      </c>
      <c r="D31" s="235">
        <f>'Summary by Sector'!D17</f>
        <v>63.790950322376901</v>
      </c>
      <c r="E31" s="235">
        <f>'Summary by Sector'!E17</f>
        <v>61.417716762841685</v>
      </c>
      <c r="F31" s="235">
        <f>'Summary by Sector'!F17</f>
        <v>64.291832983307458</v>
      </c>
      <c r="G31" s="235">
        <f>'Summary by Sector'!G17</f>
        <v>66.31360081110698</v>
      </c>
      <c r="H31" s="235">
        <f>'Summary by Sector'!H17</f>
        <v>68.901521221797978</v>
      </c>
      <c r="I31" s="235">
        <f>'Summary by Sector'!I17</f>
        <v>68.770021526082573</v>
      </c>
      <c r="J31" s="235">
        <f>'Summary by Sector'!J17</f>
        <v>69.295700358346323</v>
      </c>
      <c r="K31" s="235">
        <f>'Summary by Sector'!K17</f>
        <v>71.885060546727644</v>
      </c>
      <c r="L31" s="235">
        <f>'Summary by Sector'!L17</f>
        <v>72.42241757581283</v>
      </c>
      <c r="M31" s="236">
        <f>'Summary by Sector'!M17</f>
        <v>73.522567706512092</v>
      </c>
      <c r="N31" s="236">
        <f>'Summary by Sector'!N17</f>
        <v>74.251895094305894</v>
      </c>
      <c r="O31" s="236">
        <f>'Summary by Sector'!O17</f>
        <v>75.569451656242663</v>
      </c>
      <c r="P31" s="236">
        <f>'Summary by Sector'!P17</f>
        <v>74.368997013118147</v>
      </c>
      <c r="Q31" s="236">
        <f>'Summary by Sector'!Q17</f>
        <v>76.009703678881081</v>
      </c>
      <c r="R31" s="236">
        <f>'Summary by Sector'!R17</f>
        <v>79.138660550532492</v>
      </c>
      <c r="S31" s="236">
        <f>'Summary by Sector'!S17</f>
        <v>77.307695556747333</v>
      </c>
      <c r="T31" s="236">
        <f>'Summary by Sector'!T17</f>
        <v>78.808222337983679</v>
      </c>
      <c r="U31" s="236">
        <f>'Summary by Sector'!U17</f>
        <v>76.399314799645552</v>
      </c>
      <c r="V31" s="236">
        <f>'Summary by Sector'!V17</f>
        <v>70.674823259471509</v>
      </c>
      <c r="W31" s="236">
        <f>'Summary by Sector'!W17</f>
        <v>75.182559283978208</v>
      </c>
      <c r="X31" s="236">
        <f>'Summary by Sector'!X17</f>
        <v>72.893302011525634</v>
      </c>
      <c r="Y31" s="236">
        <f>'Summary by Sector'!Y17</f>
        <v>71.857203625427644</v>
      </c>
      <c r="Z31" s="236">
        <f>'Summary by Sector'!Z17</f>
        <v>69.188749741502335</v>
      </c>
      <c r="AA31" s="236">
        <f>'Summary by Sector'!AA17</f>
        <v>67.342511842352579</v>
      </c>
      <c r="AB31" s="236">
        <f>'Summary by Sector'!AB17</f>
        <v>59.82277811581362</v>
      </c>
      <c r="AC31" s="236">
        <f>'Summary by Sector'!AC17</f>
        <v>54.665557347640132</v>
      </c>
      <c r="AD31" s="236">
        <f>'Summary by Sector'!AD17</f>
        <v>53.068671373267385</v>
      </c>
      <c r="AE31" s="236">
        <f>'Summary by Sector'!AE17</f>
        <v>55.301145700909089</v>
      </c>
      <c r="AF31" s="236">
        <f>'Summary by Sector'!AF17</f>
        <v>47.985279658380655</v>
      </c>
      <c r="AG31" s="236">
        <f>'Summary by Sector'!AG17</f>
        <v>35.308113619134737</v>
      </c>
      <c r="AH31" s="236">
        <f>'Summary by Sector'!AH17</f>
        <v>0</v>
      </c>
      <c r="AI31" s="236">
        <f>'Summary by Sector'!AI17</f>
        <v>0</v>
      </c>
      <c r="AJ31" s="236">
        <f>'Summary by Sector'!AJ17</f>
        <v>0</v>
      </c>
      <c r="AK31" s="236">
        <f>'Summary by Sector'!AK17</f>
        <v>0</v>
      </c>
      <c r="AL31" s="236">
        <f>'Summary by Sector'!AL17</f>
        <v>0</v>
      </c>
    </row>
    <row r="32" spans="1:38" ht="16" thickBot="1">
      <c r="A32" s="122"/>
      <c r="B32" s="140" t="s">
        <v>223</v>
      </c>
      <c r="C32" s="141">
        <f t="shared" ref="C32:AG32" si="10">C5+C12+C21+C29</f>
        <v>245.41241280024565</v>
      </c>
      <c r="D32" s="141">
        <f t="shared" si="10"/>
        <v>243.98208788071358</v>
      </c>
      <c r="E32" s="141">
        <f t="shared" si="10"/>
        <v>241.8837942448487</v>
      </c>
      <c r="F32" s="141">
        <f t="shared" si="10"/>
        <v>258.19325350899328</v>
      </c>
      <c r="G32" s="141">
        <f t="shared" si="10"/>
        <v>260.67324354325785</v>
      </c>
      <c r="H32" s="141">
        <f t="shared" si="10"/>
        <v>264.62674440998694</v>
      </c>
      <c r="I32" s="141">
        <f t="shared" si="10"/>
        <v>279.94879574002397</v>
      </c>
      <c r="J32" s="141">
        <f t="shared" si="10"/>
        <v>287.10684426018969</v>
      </c>
      <c r="K32" s="141">
        <f t="shared" si="10"/>
        <v>278.03004893515424</v>
      </c>
      <c r="L32" s="141">
        <f t="shared" si="10"/>
        <v>287.83588732017563</v>
      </c>
      <c r="M32" s="141">
        <f t="shared" si="10"/>
        <v>292.78725686557004</v>
      </c>
      <c r="N32" s="141">
        <f t="shared" si="10"/>
        <v>279.28939281296402</v>
      </c>
      <c r="O32" s="141">
        <f t="shared" si="10"/>
        <v>285.04763824577071</v>
      </c>
      <c r="P32" s="141">
        <f t="shared" si="10"/>
        <v>290.0984335319913</v>
      </c>
      <c r="Q32" s="141">
        <f t="shared" si="10"/>
        <v>297.10089233989976</v>
      </c>
      <c r="R32" s="141">
        <f t="shared" si="10"/>
        <v>302.13049863024401</v>
      </c>
      <c r="S32" s="141">
        <f t="shared" si="10"/>
        <v>297.03827591436027</v>
      </c>
      <c r="T32" s="141">
        <f t="shared" si="10"/>
        <v>302.55777093095463</v>
      </c>
      <c r="U32" s="141">
        <f t="shared" si="10"/>
        <v>303.75728209007843</v>
      </c>
      <c r="V32" s="141">
        <f t="shared" si="10"/>
        <v>281.88900384116334</v>
      </c>
      <c r="W32" s="141">
        <f t="shared" si="10"/>
        <v>294.23645981159154</v>
      </c>
      <c r="X32" s="141">
        <f t="shared" si="10"/>
        <v>290.63763031976862</v>
      </c>
      <c r="Y32" s="141">
        <f t="shared" si="10"/>
        <v>275.15016263960774</v>
      </c>
      <c r="Z32" s="141">
        <f t="shared" si="10"/>
        <v>291.03576033334622</v>
      </c>
      <c r="AA32" s="141">
        <f t="shared" si="10"/>
        <v>295.42184594508655</v>
      </c>
      <c r="AB32" s="141">
        <f t="shared" si="10"/>
        <v>278.7384924646172</v>
      </c>
      <c r="AC32" s="141">
        <f t="shared" si="10"/>
        <v>266.41541237543828</v>
      </c>
      <c r="AD32" s="141">
        <f t="shared" si="10"/>
        <v>264.40238491391813</v>
      </c>
      <c r="AE32" s="141">
        <f t="shared" si="10"/>
        <v>271.61962905124125</v>
      </c>
      <c r="AF32" s="141">
        <f t="shared" si="10"/>
        <v>257.93833279743967</v>
      </c>
      <c r="AG32" s="141">
        <f t="shared" si="10"/>
        <v>223.50310755483758</v>
      </c>
      <c r="AH32" s="141">
        <f t="shared" ref="AH32:AL32" si="11">AH5+AH12+AH21+AH29</f>
        <v>31.397320256613561</v>
      </c>
      <c r="AI32" s="141">
        <f t="shared" si="11"/>
        <v>4.1506728251231495</v>
      </c>
      <c r="AJ32" s="141">
        <f t="shared" si="11"/>
        <v>0.32827812681537971</v>
      </c>
      <c r="AK32" s="141">
        <f t="shared" si="11"/>
        <v>0.32270198347361084</v>
      </c>
      <c r="AL32" s="141">
        <f t="shared" si="11"/>
        <v>0.31748190045141383</v>
      </c>
    </row>
    <row r="33" spans="1:38" ht="16" thickBot="1">
      <c r="B33" s="140" t="s">
        <v>224</v>
      </c>
      <c r="C33" s="141">
        <f t="shared" ref="C33:AG33" si="12">IF(C11&gt;0,0,C11)</f>
        <v>-14.05246888592594</v>
      </c>
      <c r="D33" s="141">
        <f t="shared" si="12"/>
        <v>-15.516528242930031</v>
      </c>
      <c r="E33" s="141">
        <f t="shared" si="12"/>
        <v>-13.346627866860974</v>
      </c>
      <c r="F33" s="141">
        <f t="shared" si="12"/>
        <v>-10.351301145721379</v>
      </c>
      <c r="G33" s="141">
        <f t="shared" si="12"/>
        <v>-14.477478336705923</v>
      </c>
      <c r="H33" s="141">
        <f t="shared" si="12"/>
        <v>-11.545531457473233</v>
      </c>
      <c r="I33" s="141">
        <f t="shared" si="12"/>
        <v>-14.510612415517434</v>
      </c>
      <c r="J33" s="141">
        <f t="shared" si="12"/>
        <v>-13.223886835098675</v>
      </c>
      <c r="K33" s="141">
        <f t="shared" si="12"/>
        <v>-11.348530777722996</v>
      </c>
      <c r="L33" s="141">
        <f t="shared" si="12"/>
        <v>-13.99195969890758</v>
      </c>
      <c r="M33" s="141">
        <f t="shared" si="12"/>
        <v>-14.880053892475528</v>
      </c>
      <c r="N33" s="141">
        <f t="shared" si="12"/>
        <v>-17.448805699523781</v>
      </c>
      <c r="O33" s="141">
        <f t="shared" si="12"/>
        <v>-17.029391607989872</v>
      </c>
      <c r="P33" s="141">
        <f t="shared" si="12"/>
        <v>-15.27195694334775</v>
      </c>
      <c r="Q33" s="141">
        <f t="shared" si="12"/>
        <v>-16.448112967981128</v>
      </c>
      <c r="R33" s="141">
        <f t="shared" si="12"/>
        <v>-18.452731916609057</v>
      </c>
      <c r="S33" s="141">
        <f t="shared" si="12"/>
        <v>-14.153808528870274</v>
      </c>
      <c r="T33" s="141">
        <f t="shared" si="12"/>
        <v>-17.077243427097443</v>
      </c>
      <c r="U33" s="141">
        <f t="shared" si="12"/>
        <v>-15.093245390988416</v>
      </c>
      <c r="V33" s="141">
        <f t="shared" si="12"/>
        <v>-14.349549802521462</v>
      </c>
      <c r="W33" s="141">
        <f t="shared" si="12"/>
        <v>-14.533082875122489</v>
      </c>
      <c r="X33" s="141">
        <f t="shared" si="12"/>
        <v>-19.062428300579427</v>
      </c>
      <c r="Y33" s="141">
        <f t="shared" si="12"/>
        <v>-17.249201754843899</v>
      </c>
      <c r="Z33" s="141">
        <f t="shared" si="12"/>
        <v>-12.261782793274149</v>
      </c>
      <c r="AA33" s="141">
        <f t="shared" si="12"/>
        <v>-15.189894335066992</v>
      </c>
      <c r="AB33" s="141">
        <f t="shared" si="12"/>
        <v>-16.094111939936305</v>
      </c>
      <c r="AC33" s="141">
        <f t="shared" si="12"/>
        <v>-15.844259438034435</v>
      </c>
      <c r="AD33" s="141">
        <f t="shared" si="12"/>
        <v>-15.803469197897041</v>
      </c>
      <c r="AE33" s="141">
        <f t="shared" si="12"/>
        <v>-15.037944197519662</v>
      </c>
      <c r="AF33" s="141">
        <f t="shared" si="12"/>
        <v>-14.686097123848471</v>
      </c>
      <c r="AG33" s="141">
        <f t="shared" si="12"/>
        <v>-15.930766164987265</v>
      </c>
      <c r="AH33" s="141">
        <f t="shared" ref="AH33:AL33" si="13">IF(AH11&gt;0,0,AH11)</f>
        <v>0</v>
      </c>
      <c r="AI33" s="141">
        <f t="shared" si="13"/>
        <v>0</v>
      </c>
      <c r="AJ33" s="141">
        <f t="shared" si="13"/>
        <v>0</v>
      </c>
      <c r="AK33" s="141">
        <f t="shared" si="13"/>
        <v>0</v>
      </c>
      <c r="AL33" s="141">
        <f t="shared" si="13"/>
        <v>0</v>
      </c>
    </row>
    <row r="34" spans="1:38" ht="16" thickBot="1">
      <c r="B34" s="140" t="s">
        <v>237</v>
      </c>
      <c r="C34" s="141">
        <f>SUM(C32:C33)</f>
        <v>231.3599439143197</v>
      </c>
      <c r="D34" s="141">
        <f t="shared" ref="D34:L34" si="14">SUM(D32:D33)</f>
        <v>228.46555963778354</v>
      </c>
      <c r="E34" s="141">
        <f t="shared" si="14"/>
        <v>228.53716637798772</v>
      </c>
      <c r="F34" s="141">
        <f t="shared" si="14"/>
        <v>247.8419523632719</v>
      </c>
      <c r="G34" s="141">
        <f t="shared" si="14"/>
        <v>246.19576520655193</v>
      </c>
      <c r="H34" s="141">
        <f t="shared" si="14"/>
        <v>253.08121295251371</v>
      </c>
      <c r="I34" s="141">
        <f t="shared" si="14"/>
        <v>265.43818332450655</v>
      </c>
      <c r="J34" s="141">
        <f t="shared" si="14"/>
        <v>273.88295742509104</v>
      </c>
      <c r="K34" s="141">
        <f t="shared" si="14"/>
        <v>266.68151815743124</v>
      </c>
      <c r="L34" s="141">
        <f t="shared" si="14"/>
        <v>273.84392762126805</v>
      </c>
      <c r="M34" s="141">
        <f t="shared" ref="M34:R34" si="15">SUM(M32:M33)</f>
        <v>277.90720297309451</v>
      </c>
      <c r="N34" s="141">
        <f t="shared" si="15"/>
        <v>261.84058711344022</v>
      </c>
      <c r="O34" s="141">
        <f t="shared" si="15"/>
        <v>268.01824663778086</v>
      </c>
      <c r="P34" s="141">
        <f t="shared" si="15"/>
        <v>274.82647658864357</v>
      </c>
      <c r="Q34" s="141">
        <f t="shared" si="15"/>
        <v>280.65277937191865</v>
      </c>
      <c r="R34" s="141">
        <f t="shared" si="15"/>
        <v>283.67776671363492</v>
      </c>
      <c r="S34" s="141">
        <f t="shared" ref="S34:AG34" si="16">SUM(S32:S33)</f>
        <v>282.88446738548998</v>
      </c>
      <c r="T34" s="141">
        <f t="shared" si="16"/>
        <v>285.48052750385716</v>
      </c>
      <c r="U34" s="141">
        <f t="shared" si="16"/>
        <v>288.66403669908999</v>
      </c>
      <c r="V34" s="141">
        <f t="shared" si="16"/>
        <v>267.53945403864191</v>
      </c>
      <c r="W34" s="141">
        <f t="shared" si="16"/>
        <v>279.70337693646906</v>
      </c>
      <c r="X34" s="141">
        <f t="shared" si="16"/>
        <v>271.57520201918919</v>
      </c>
      <c r="Y34" s="141">
        <f t="shared" si="16"/>
        <v>257.90096088476383</v>
      </c>
      <c r="Z34" s="141">
        <f t="shared" si="16"/>
        <v>278.77397754007205</v>
      </c>
      <c r="AA34" s="141">
        <f t="shared" si="16"/>
        <v>280.23195161001956</v>
      </c>
      <c r="AB34" s="141">
        <f t="shared" si="16"/>
        <v>262.64438052468091</v>
      </c>
      <c r="AC34" s="141">
        <f t="shared" si="16"/>
        <v>250.57115293740384</v>
      </c>
      <c r="AD34" s="141">
        <f t="shared" si="16"/>
        <v>248.59891571602108</v>
      </c>
      <c r="AE34" s="141">
        <f t="shared" si="16"/>
        <v>256.58168485372158</v>
      </c>
      <c r="AF34" s="141">
        <f t="shared" si="16"/>
        <v>243.2522356735912</v>
      </c>
      <c r="AG34" s="141">
        <f t="shared" si="16"/>
        <v>207.57234138985032</v>
      </c>
      <c r="AH34" s="141">
        <f t="shared" ref="AH34:AL34" si="17">SUM(AH32:AH33)</f>
        <v>31.397320256613561</v>
      </c>
      <c r="AI34" s="141">
        <f t="shared" si="17"/>
        <v>4.1506728251231495</v>
      </c>
      <c r="AJ34" s="141">
        <f t="shared" si="17"/>
        <v>0.32827812681537971</v>
      </c>
      <c r="AK34" s="141">
        <f t="shared" si="17"/>
        <v>0.32270198347361084</v>
      </c>
      <c r="AL34" s="141">
        <f t="shared" si="17"/>
        <v>0.31748190045141383</v>
      </c>
    </row>
    <row r="35" spans="1:38">
      <c r="B35" s="18" t="s">
        <v>238</v>
      </c>
      <c r="S35" s="284"/>
    </row>
    <row r="36" spans="1:38">
      <c r="B36" s="18" t="s">
        <v>239</v>
      </c>
      <c r="C36" s="147"/>
      <c r="S36" s="284"/>
    </row>
    <row r="37" spans="1:38" s="283" customFormat="1" hidden="1">
      <c r="C37" s="276">
        <v>1</v>
      </c>
      <c r="D37" s="283">
        <f>IF(D4&lt;=$B38,C37+1,0)</f>
        <v>2</v>
      </c>
      <c r="E37" s="283">
        <f t="shared" ref="E37:AL37" si="18">IF(E4&lt;=$B38,D37+1,0)</f>
        <v>3</v>
      </c>
      <c r="F37" s="283">
        <f t="shared" si="18"/>
        <v>4</v>
      </c>
      <c r="G37" s="283">
        <f t="shared" si="18"/>
        <v>5</v>
      </c>
      <c r="H37" s="283">
        <f t="shared" si="18"/>
        <v>6</v>
      </c>
      <c r="I37" s="283">
        <f t="shared" si="18"/>
        <v>7</v>
      </c>
      <c r="J37" s="283">
        <f t="shared" si="18"/>
        <v>8</v>
      </c>
      <c r="K37" s="283">
        <f t="shared" si="18"/>
        <v>9</v>
      </c>
      <c r="L37" s="283">
        <f t="shared" si="18"/>
        <v>10</v>
      </c>
      <c r="M37" s="283">
        <f t="shared" si="18"/>
        <v>11</v>
      </c>
      <c r="N37" s="283">
        <f t="shared" si="18"/>
        <v>12</v>
      </c>
      <c r="O37" s="283">
        <f t="shared" si="18"/>
        <v>13</v>
      </c>
      <c r="P37" s="283">
        <f t="shared" si="18"/>
        <v>14</v>
      </c>
      <c r="Q37" s="283">
        <f t="shared" si="18"/>
        <v>15</v>
      </c>
      <c r="R37" s="283">
        <f t="shared" si="18"/>
        <v>16</v>
      </c>
      <c r="S37" s="283">
        <f t="shared" si="18"/>
        <v>17</v>
      </c>
      <c r="T37" s="283">
        <f t="shared" si="18"/>
        <v>18</v>
      </c>
      <c r="U37" s="283">
        <f t="shared" si="18"/>
        <v>19</v>
      </c>
      <c r="V37" s="283">
        <f t="shared" si="18"/>
        <v>20</v>
      </c>
      <c r="W37" s="283">
        <f t="shared" si="18"/>
        <v>21</v>
      </c>
      <c r="X37" s="283">
        <f t="shared" si="18"/>
        <v>22</v>
      </c>
      <c r="Y37" s="283">
        <f t="shared" si="18"/>
        <v>23</v>
      </c>
      <c r="Z37" s="283">
        <f t="shared" si="18"/>
        <v>24</v>
      </c>
      <c r="AA37" s="283">
        <f t="shared" si="18"/>
        <v>25</v>
      </c>
      <c r="AB37" s="283">
        <f t="shared" si="18"/>
        <v>26</v>
      </c>
      <c r="AC37" s="283">
        <f t="shared" si="18"/>
        <v>27</v>
      </c>
      <c r="AD37" s="283">
        <f t="shared" si="18"/>
        <v>28</v>
      </c>
      <c r="AE37" s="283">
        <f t="shared" si="18"/>
        <v>29</v>
      </c>
      <c r="AF37" s="283">
        <f t="shared" si="18"/>
        <v>30</v>
      </c>
      <c r="AG37" s="283">
        <f t="shared" si="18"/>
        <v>31</v>
      </c>
      <c r="AH37" s="283">
        <f t="shared" si="18"/>
        <v>32</v>
      </c>
      <c r="AI37" s="283">
        <f t="shared" si="18"/>
        <v>33</v>
      </c>
      <c r="AJ37" s="283">
        <f t="shared" si="18"/>
        <v>34</v>
      </c>
      <c r="AK37" s="283">
        <f t="shared" si="18"/>
        <v>35</v>
      </c>
      <c r="AL37" s="283">
        <f t="shared" si="18"/>
        <v>36</v>
      </c>
    </row>
    <row r="38" spans="1:38" s="283" customFormat="1" hidden="1">
      <c r="B38" s="283">
        <f>MAX(C38:AL38)</f>
        <v>2025</v>
      </c>
      <c r="C38" s="276">
        <v>1990</v>
      </c>
      <c r="D38" s="276">
        <f t="shared" ref="D38:AL38" si="19">IF(D32=0,0,D4)</f>
        <v>1991</v>
      </c>
      <c r="E38" s="276">
        <f t="shared" si="19"/>
        <v>1992</v>
      </c>
      <c r="F38" s="276">
        <f t="shared" si="19"/>
        <v>1993</v>
      </c>
      <c r="G38" s="276">
        <f t="shared" si="19"/>
        <v>1994</v>
      </c>
      <c r="H38" s="276">
        <f t="shared" si="19"/>
        <v>1995</v>
      </c>
      <c r="I38" s="276">
        <f t="shared" si="19"/>
        <v>1996</v>
      </c>
      <c r="J38" s="276">
        <f t="shared" si="19"/>
        <v>1997</v>
      </c>
      <c r="K38" s="276">
        <f t="shared" si="19"/>
        <v>1998</v>
      </c>
      <c r="L38" s="276">
        <f t="shared" si="19"/>
        <v>1999</v>
      </c>
      <c r="M38" s="276">
        <f t="shared" si="19"/>
        <v>2000</v>
      </c>
      <c r="N38" s="276">
        <f t="shared" si="19"/>
        <v>2001</v>
      </c>
      <c r="O38" s="276">
        <f t="shared" si="19"/>
        <v>2002</v>
      </c>
      <c r="P38" s="276">
        <f t="shared" si="19"/>
        <v>2003</v>
      </c>
      <c r="Q38" s="276">
        <f t="shared" si="19"/>
        <v>2004</v>
      </c>
      <c r="R38" s="276">
        <f t="shared" si="19"/>
        <v>2005</v>
      </c>
      <c r="S38" s="276">
        <f t="shared" si="19"/>
        <v>2006</v>
      </c>
      <c r="T38" s="276">
        <f t="shared" si="19"/>
        <v>2007</v>
      </c>
      <c r="U38" s="276">
        <f t="shared" si="19"/>
        <v>2008</v>
      </c>
      <c r="V38" s="276">
        <f t="shared" si="19"/>
        <v>2009</v>
      </c>
      <c r="W38" s="276">
        <f t="shared" si="19"/>
        <v>2010</v>
      </c>
      <c r="X38" s="276">
        <f t="shared" si="19"/>
        <v>2011</v>
      </c>
      <c r="Y38" s="276">
        <f t="shared" si="19"/>
        <v>2012</v>
      </c>
      <c r="Z38" s="276">
        <f t="shared" si="19"/>
        <v>2013</v>
      </c>
      <c r="AA38" s="276">
        <f t="shared" si="19"/>
        <v>2014</v>
      </c>
      <c r="AB38" s="276">
        <f t="shared" si="19"/>
        <v>2015</v>
      </c>
      <c r="AC38" s="276">
        <f t="shared" si="19"/>
        <v>2016</v>
      </c>
      <c r="AD38" s="276">
        <f t="shared" si="19"/>
        <v>2017</v>
      </c>
      <c r="AE38" s="276">
        <f t="shared" si="19"/>
        <v>2018</v>
      </c>
      <c r="AF38" s="276">
        <f t="shared" si="19"/>
        <v>2019</v>
      </c>
      <c r="AG38" s="276">
        <f t="shared" si="19"/>
        <v>2020</v>
      </c>
      <c r="AH38" s="276">
        <f t="shared" si="19"/>
        <v>2021</v>
      </c>
      <c r="AI38" s="276">
        <f t="shared" si="19"/>
        <v>2022</v>
      </c>
      <c r="AJ38" s="276">
        <f t="shared" si="19"/>
        <v>2023</v>
      </c>
      <c r="AK38" s="276">
        <f t="shared" si="19"/>
        <v>2024</v>
      </c>
      <c r="AL38" s="276">
        <f t="shared" si="19"/>
        <v>2025</v>
      </c>
    </row>
    <row r="39" spans="1:38">
      <c r="B39" s="18" t="s">
        <v>240</v>
      </c>
      <c r="C39" s="351"/>
      <c r="J39" s="124"/>
      <c r="K39" s="124"/>
      <c r="L39" s="124"/>
      <c r="M39" s="124"/>
      <c r="N39" s="124"/>
    </row>
    <row r="40" spans="1:38">
      <c r="C40" s="350"/>
      <c r="D40" s="147"/>
      <c r="I40" s="159" t="s">
        <v>227</v>
      </c>
      <c r="N40" s="124"/>
    </row>
    <row r="41" spans="1:38" ht="16" thickBot="1">
      <c r="C41" s="350"/>
      <c r="D41" s="147"/>
      <c r="J41" s="124"/>
      <c r="L41" s="124"/>
      <c r="M41" s="124"/>
      <c r="N41" s="124"/>
    </row>
    <row r="42" spans="1:38" ht="16" thickBot="1">
      <c r="C42" s="350"/>
      <c r="D42" s="147"/>
      <c r="I42" s="124" t="s">
        <v>228</v>
      </c>
      <c r="K42" s="158">
        <v>2020</v>
      </c>
    </row>
    <row r="43" spans="1:38">
      <c r="C43" s="350"/>
      <c r="D43" s="147"/>
    </row>
    <row r="44" spans="1:38">
      <c r="C44" s="350"/>
      <c r="D44" s="147"/>
    </row>
    <row r="45" spans="1:38">
      <c r="C45" s="350"/>
      <c r="D45" s="147"/>
    </row>
    <row r="46" spans="1:38">
      <c r="A46" s="122"/>
      <c r="B46" s="122"/>
      <c r="C46" s="350"/>
      <c r="D46" s="124"/>
      <c r="E46" s="124"/>
      <c r="F46" s="124"/>
      <c r="G46" s="126"/>
      <c r="H46" s="124"/>
      <c r="I46" s="124"/>
      <c r="J46" s="124"/>
      <c r="K46" s="124"/>
      <c r="L46" s="124"/>
      <c r="M46" s="124"/>
      <c r="N46" s="124"/>
      <c r="O46" s="124"/>
      <c r="P46" s="124"/>
      <c r="Q46" s="124"/>
      <c r="R46" s="124"/>
      <c r="T46" s="124"/>
    </row>
    <row r="47" spans="1:38">
      <c r="C47" s="350"/>
      <c r="D47" s="147"/>
    </row>
    <row r="48" spans="1:38">
      <c r="C48" s="352"/>
      <c r="D48" s="147"/>
    </row>
    <row r="49" spans="1:20">
      <c r="C49" s="350"/>
      <c r="D49" s="147"/>
    </row>
    <row r="50" spans="1:20">
      <c r="C50" s="147"/>
    </row>
    <row r="51" spans="1:20">
      <c r="B51" s="122"/>
      <c r="C51" s="147"/>
    </row>
    <row r="52" spans="1:20">
      <c r="A52" s="122"/>
      <c r="B52" s="122"/>
      <c r="C52" s="147"/>
      <c r="D52" s="122"/>
      <c r="E52" s="122"/>
      <c r="F52" s="122"/>
      <c r="G52" s="122"/>
      <c r="H52" s="122"/>
      <c r="I52" s="122"/>
      <c r="J52" s="122"/>
      <c r="K52" s="122"/>
      <c r="L52" s="122"/>
      <c r="M52" s="122"/>
      <c r="N52" s="122"/>
      <c r="O52" s="122"/>
      <c r="P52" s="122"/>
      <c r="Q52" s="122"/>
      <c r="R52" s="122"/>
      <c r="T52" s="122"/>
    </row>
    <row r="53" spans="1:20">
      <c r="A53" s="122"/>
      <c r="B53" s="122"/>
      <c r="C53" s="147"/>
      <c r="D53" s="122"/>
      <c r="E53" s="122"/>
      <c r="F53" s="122"/>
      <c r="G53" s="122"/>
      <c r="H53" s="122"/>
      <c r="I53" s="122"/>
      <c r="J53" s="122"/>
      <c r="K53" s="122"/>
      <c r="L53" s="122"/>
      <c r="M53" s="122"/>
      <c r="N53" s="122"/>
      <c r="O53" s="122"/>
      <c r="P53" s="122"/>
      <c r="Q53" s="122"/>
      <c r="R53" s="122"/>
      <c r="T53" s="122"/>
    </row>
    <row r="54" spans="1:20">
      <c r="A54" s="122"/>
      <c r="C54" s="122"/>
      <c r="D54" s="122"/>
      <c r="E54" s="122"/>
      <c r="F54" s="122"/>
      <c r="G54" s="122"/>
      <c r="H54" s="122"/>
      <c r="I54" s="122"/>
      <c r="J54" s="122"/>
      <c r="K54" s="122"/>
      <c r="L54" s="122"/>
      <c r="M54" s="122"/>
      <c r="N54" s="122"/>
      <c r="O54" s="122"/>
      <c r="P54" s="122"/>
      <c r="Q54" s="122"/>
      <c r="R54" s="122"/>
      <c r="T54" s="122"/>
    </row>
    <row r="58" spans="1:20">
      <c r="R58" s="290"/>
      <c r="S58" s="291"/>
      <c r="T58" s="290"/>
    </row>
    <row r="59" spans="1:20">
      <c r="R59" s="290"/>
      <c r="S59" s="279"/>
      <c r="T59" s="290"/>
    </row>
    <row r="60" spans="1:20">
      <c r="R60" s="290"/>
      <c r="S60" s="279"/>
      <c r="T60" s="290"/>
    </row>
    <row r="61" spans="1:20">
      <c r="R61" s="290"/>
      <c r="S61" s="279"/>
      <c r="T61" s="290"/>
    </row>
    <row r="62" spans="1:20">
      <c r="R62" s="290"/>
      <c r="S62" s="279"/>
      <c r="T62" s="290"/>
    </row>
    <row r="63" spans="1:20">
      <c r="R63" s="290"/>
      <c r="S63" s="296" t="str">
        <f>"GHG Emissions by Gas, 1990-"&amp;B38</f>
        <v>GHG Emissions by Gas, 1990-2025</v>
      </c>
      <c r="T63" s="290"/>
    </row>
    <row r="64" spans="1:20">
      <c r="R64" s="290"/>
      <c r="S64" s="296" t="str">
        <f>"Carbon Dioxide Emissions by Source, 1990-"&amp;B38</f>
        <v>Carbon Dioxide Emissions by Source, 1990-2025</v>
      </c>
      <c r="T64" s="290"/>
    </row>
    <row r="65" spans="18:20">
      <c r="R65" s="290"/>
      <c r="S65" s="296" t="str">
        <f>"Methane Emissions by Source, 1990-"&amp;B38</f>
        <v>Methane Emissions by Source, 1990-2025</v>
      </c>
      <c r="T65" s="290"/>
    </row>
    <row r="66" spans="18:20">
      <c r="R66" s="290"/>
      <c r="S66" s="296" t="str">
        <f>"Nitrous Oxide Emissions by Source, 1990-"&amp;B38</f>
        <v>Nitrous Oxide Emissions by Source, 1990-2025</v>
      </c>
      <c r="T66" s="290"/>
    </row>
    <row r="67" spans="18:20">
      <c r="R67" s="290"/>
      <c r="S67" s="296"/>
      <c r="T67" s="290"/>
    </row>
    <row r="68" spans="18:20">
      <c r="R68" s="290"/>
      <c r="S68" s="279"/>
      <c r="T68" s="290"/>
    </row>
    <row r="69" spans="18:20">
      <c r="R69" s="290"/>
      <c r="S69" s="279"/>
      <c r="T69" s="290"/>
    </row>
    <row r="70" spans="18:20">
      <c r="R70" s="290"/>
      <c r="S70" s="279"/>
      <c r="T70" s="290"/>
    </row>
    <row r="71" spans="18:20">
      <c r="R71" s="290"/>
      <c r="S71" s="279"/>
      <c r="T71" s="290"/>
    </row>
    <row r="72" spans="18:20">
      <c r="R72" s="290"/>
      <c r="S72" s="279"/>
      <c r="T72" s="290"/>
    </row>
    <row r="73" spans="18:20">
      <c r="R73" s="290"/>
      <c r="S73" s="291"/>
      <c r="T73" s="290"/>
    </row>
    <row r="149" spans="1:38" s="290" customFormat="1">
      <c r="S149" s="291"/>
    </row>
    <row r="150" spans="1:38" s="283" customFormat="1">
      <c r="S150" s="279"/>
    </row>
    <row r="151" spans="1:38" s="283" customFormat="1">
      <c r="B151" s="276" t="s">
        <v>241</v>
      </c>
      <c r="S151" s="279"/>
    </row>
    <row r="152" spans="1:38" s="283" customFormat="1">
      <c r="B152" s="276"/>
      <c r="C152" s="276"/>
      <c r="D152" s="276"/>
      <c r="E152" s="276"/>
      <c r="F152" s="276"/>
      <c r="G152" s="276"/>
      <c r="H152" s="276"/>
      <c r="I152" s="276"/>
      <c r="J152" s="276"/>
      <c r="K152" s="276"/>
      <c r="L152" s="276"/>
      <c r="M152" s="276"/>
      <c r="N152" s="276"/>
      <c r="O152" s="276"/>
      <c r="P152" s="276"/>
      <c r="Q152" s="276"/>
      <c r="R152" s="276"/>
      <c r="S152" s="279"/>
    </row>
    <row r="153" spans="1:38" s="283" customFormat="1">
      <c r="B153" s="276" t="str">
        <f>B7</f>
        <v>CO2 from Fossil Fuel Combustion</v>
      </c>
      <c r="C153" s="276">
        <f t="shared" ref="C153:R153" si="20">C4</f>
        <v>1990</v>
      </c>
      <c r="D153" s="276">
        <f t="shared" si="20"/>
        <v>1991</v>
      </c>
      <c r="E153" s="276">
        <f t="shared" si="20"/>
        <v>1992</v>
      </c>
      <c r="F153" s="276">
        <f t="shared" si="20"/>
        <v>1993</v>
      </c>
      <c r="G153" s="276">
        <f t="shared" si="20"/>
        <v>1994</v>
      </c>
      <c r="H153" s="276">
        <f t="shared" si="20"/>
        <v>1995</v>
      </c>
      <c r="I153" s="276">
        <f t="shared" si="20"/>
        <v>1996</v>
      </c>
      <c r="J153" s="276">
        <f t="shared" si="20"/>
        <v>1997</v>
      </c>
      <c r="K153" s="276">
        <f t="shared" si="20"/>
        <v>1998</v>
      </c>
      <c r="L153" s="276">
        <f t="shared" si="20"/>
        <v>1999</v>
      </c>
      <c r="M153" s="276">
        <f t="shared" si="20"/>
        <v>2000</v>
      </c>
      <c r="N153" s="276">
        <f t="shared" si="20"/>
        <v>2001</v>
      </c>
      <c r="O153" s="276">
        <f t="shared" si="20"/>
        <v>2002</v>
      </c>
      <c r="P153" s="276">
        <f t="shared" si="20"/>
        <v>2003</v>
      </c>
      <c r="Q153" s="276">
        <f t="shared" si="20"/>
        <v>2004</v>
      </c>
      <c r="R153" s="276">
        <f t="shared" si="20"/>
        <v>2005</v>
      </c>
      <c r="S153" s="279"/>
    </row>
    <row r="154" spans="1:38" s="283" customFormat="1">
      <c r="B154" s="276" t="str">
        <f>B8</f>
        <v>Industrial Processes</v>
      </c>
      <c r="C154" s="292">
        <f t="shared" ref="C154:R154" si="21">C7</f>
        <v>192.00128729933954</v>
      </c>
      <c r="D154" s="292">
        <f t="shared" si="21"/>
        <v>191.43093412637785</v>
      </c>
      <c r="E154" s="292">
        <f t="shared" si="21"/>
        <v>187.93123456511</v>
      </c>
      <c r="F154" s="292">
        <f t="shared" si="21"/>
        <v>203.43038709246647</v>
      </c>
      <c r="G154" s="292">
        <f t="shared" si="21"/>
        <v>204.86631679901208</v>
      </c>
      <c r="H154" s="292">
        <f t="shared" si="21"/>
        <v>208.53515903901743</v>
      </c>
      <c r="I154" s="292">
        <f t="shared" si="21"/>
        <v>222.75236282629331</v>
      </c>
      <c r="J154" s="292">
        <f t="shared" si="21"/>
        <v>225.30127628504704</v>
      </c>
      <c r="K154" s="292">
        <f t="shared" si="21"/>
        <v>217.01625196922168</v>
      </c>
      <c r="L154" s="292">
        <f t="shared" si="21"/>
        <v>227.92539211045872</v>
      </c>
      <c r="M154" s="292">
        <f t="shared" si="21"/>
        <v>234.6341139895847</v>
      </c>
      <c r="N154" s="292">
        <f t="shared" si="21"/>
        <v>227.55289721865566</v>
      </c>
      <c r="O154" s="292">
        <f t="shared" si="21"/>
        <v>231.65041771571984</v>
      </c>
      <c r="P154" s="292">
        <f t="shared" si="21"/>
        <v>235.38947204236041</v>
      </c>
      <c r="Q154" s="292">
        <f t="shared" si="21"/>
        <v>241.11804559717348</v>
      </c>
      <c r="R154" s="292">
        <f t="shared" si="21"/>
        <v>246.38239316560768</v>
      </c>
      <c r="S154" s="279"/>
    </row>
    <row r="155" spans="1:38" s="283" customFormat="1">
      <c r="B155" s="276" t="str">
        <f>B9</f>
        <v>Waste</v>
      </c>
      <c r="C155" s="292">
        <f t="shared" ref="C155:R155" si="22">C8</f>
        <v>2.4439372797783263</v>
      </c>
      <c r="D155" s="292">
        <f t="shared" si="22"/>
        <v>2.3321915418258845</v>
      </c>
      <c r="E155" s="292">
        <f t="shared" si="22"/>
        <v>2.4027099347448133</v>
      </c>
      <c r="F155" s="292">
        <f t="shared" si="22"/>
        <v>2.5307519266305079</v>
      </c>
      <c r="G155" s="292">
        <f t="shared" si="22"/>
        <v>2.8849831880176464</v>
      </c>
      <c r="H155" s="292">
        <f t="shared" si="22"/>
        <v>3.0963168184900245</v>
      </c>
      <c r="I155" s="292">
        <f t="shared" si="22"/>
        <v>3.1569677002062475</v>
      </c>
      <c r="J155" s="292">
        <f t="shared" si="22"/>
        <v>9.6565326705081258</v>
      </c>
      <c r="K155" s="292">
        <f t="shared" si="22"/>
        <v>9.1476211055159329</v>
      </c>
      <c r="L155" s="292">
        <f t="shared" si="22"/>
        <v>8.7974562363590501</v>
      </c>
      <c r="M155" s="292">
        <f t="shared" si="22"/>
        <v>8.0938591653350915</v>
      </c>
      <c r="N155" s="292">
        <f t="shared" si="22"/>
        <v>7.0121129706795307</v>
      </c>
      <c r="O155" s="292">
        <f t="shared" si="22"/>
        <v>7.9741158488767123</v>
      </c>
      <c r="P155" s="292">
        <f t="shared" si="22"/>
        <v>8.2554085080743285</v>
      </c>
      <c r="Q155" s="292">
        <f t="shared" si="22"/>
        <v>6.4760400690624111</v>
      </c>
      <c r="R155" s="292">
        <f t="shared" si="22"/>
        <v>6.4116264532705465</v>
      </c>
      <c r="S155" s="279"/>
    </row>
    <row r="156" spans="1:38" s="283" customFormat="1">
      <c r="B156" s="276" t="str">
        <f>B11</f>
        <v>LULUCF</v>
      </c>
      <c r="C156" s="292">
        <f t="shared" ref="C156:R156" si="23">C9</f>
        <v>9.7396116923478854E-2</v>
      </c>
      <c r="D156" s="292">
        <f t="shared" si="23"/>
        <v>0.12084007285876185</v>
      </c>
      <c r="E156" s="292">
        <f t="shared" si="23"/>
        <v>0.11485480727145558</v>
      </c>
      <c r="F156" s="292">
        <f t="shared" si="23"/>
        <v>0.12841266331608381</v>
      </c>
      <c r="G156" s="292">
        <f t="shared" si="23"/>
        <v>0.13014074264596626</v>
      </c>
      <c r="H156" s="292">
        <f t="shared" si="23"/>
        <v>6.2310373750787761E-2</v>
      </c>
      <c r="I156" s="292">
        <f t="shared" si="23"/>
        <v>6.3155450959526765E-2</v>
      </c>
      <c r="J156" s="292">
        <f t="shared" si="23"/>
        <v>0</v>
      </c>
      <c r="K156" s="292">
        <f t="shared" si="23"/>
        <v>6.5409947883470501E-2</v>
      </c>
      <c r="L156" s="292">
        <f t="shared" si="23"/>
        <v>0.13872181177278833</v>
      </c>
      <c r="M156" s="292">
        <f t="shared" si="23"/>
        <v>8.0985810664499586E-2</v>
      </c>
      <c r="N156" s="292">
        <f t="shared" si="23"/>
        <v>4.2322065294592204E-2</v>
      </c>
      <c r="O156" s="292">
        <f t="shared" si="23"/>
        <v>0</v>
      </c>
      <c r="P156" s="292">
        <f t="shared" si="23"/>
        <v>0</v>
      </c>
      <c r="Q156" s="292">
        <f t="shared" si="23"/>
        <v>0</v>
      </c>
      <c r="R156" s="292">
        <f t="shared" si="23"/>
        <v>0</v>
      </c>
      <c r="S156" s="279"/>
    </row>
    <row r="157" spans="1:38" s="283" customFormat="1">
      <c r="C157" s="292">
        <f t="shared" ref="C157:R157" si="24">IF(C11&lt;0,0,C11)</f>
        <v>0</v>
      </c>
      <c r="D157" s="292">
        <f t="shared" si="24"/>
        <v>0</v>
      </c>
      <c r="E157" s="292">
        <f t="shared" si="24"/>
        <v>0</v>
      </c>
      <c r="F157" s="292">
        <f t="shared" si="24"/>
        <v>0</v>
      </c>
      <c r="G157" s="292">
        <f t="shared" si="24"/>
        <v>0</v>
      </c>
      <c r="H157" s="292">
        <f t="shared" si="24"/>
        <v>0</v>
      </c>
      <c r="I157" s="292">
        <f t="shared" si="24"/>
        <v>0</v>
      </c>
      <c r="J157" s="292">
        <f t="shared" si="24"/>
        <v>0</v>
      </c>
      <c r="K157" s="292">
        <f t="shared" si="24"/>
        <v>0</v>
      </c>
      <c r="L157" s="292">
        <f t="shared" si="24"/>
        <v>0</v>
      </c>
      <c r="M157" s="292">
        <f t="shared" si="24"/>
        <v>0</v>
      </c>
      <c r="N157" s="292">
        <f t="shared" si="24"/>
        <v>0</v>
      </c>
      <c r="O157" s="292">
        <f t="shared" si="24"/>
        <v>0</v>
      </c>
      <c r="P157" s="292">
        <f t="shared" si="24"/>
        <v>0</v>
      </c>
      <c r="Q157" s="292">
        <f t="shared" si="24"/>
        <v>0</v>
      </c>
      <c r="R157" s="292">
        <f t="shared" si="24"/>
        <v>0</v>
      </c>
      <c r="S157" s="279"/>
    </row>
    <row r="158" spans="1:38" s="283" customFormat="1">
      <c r="S158" s="279"/>
    </row>
    <row r="159" spans="1:38" s="283" customFormat="1">
      <c r="A159" s="283" t="s">
        <v>232</v>
      </c>
      <c r="B159" s="283" t="str">
        <f>B5</f>
        <v>Gross CO2</v>
      </c>
      <c r="C159" s="283">
        <v>1990</v>
      </c>
      <c r="D159" s="283">
        <v>1991</v>
      </c>
      <c r="E159" s="283">
        <v>1992</v>
      </c>
      <c r="F159" s="283">
        <v>1993</v>
      </c>
      <c r="G159" s="283">
        <v>1994</v>
      </c>
      <c r="H159" s="283">
        <v>1995</v>
      </c>
      <c r="I159" s="283">
        <v>1996</v>
      </c>
      <c r="J159" s="283">
        <v>1997</v>
      </c>
      <c r="K159" s="283">
        <v>1998</v>
      </c>
      <c r="L159" s="283">
        <v>1999</v>
      </c>
      <c r="M159" s="283">
        <v>2000</v>
      </c>
      <c r="N159" s="283">
        <v>2001</v>
      </c>
      <c r="O159" s="283">
        <v>2002</v>
      </c>
      <c r="P159" s="283">
        <v>2003</v>
      </c>
      <c r="Q159" s="283">
        <v>2004</v>
      </c>
      <c r="R159" s="283">
        <v>2005</v>
      </c>
      <c r="S159" s="283">
        <v>2006</v>
      </c>
      <c r="T159" s="283">
        <v>2007</v>
      </c>
      <c r="U159" s="283">
        <v>2008</v>
      </c>
      <c r="V159" s="283">
        <v>2009</v>
      </c>
      <c r="W159" s="283">
        <v>2010</v>
      </c>
      <c r="X159" s="283">
        <v>2011</v>
      </c>
      <c r="Y159" s="283">
        <v>2012</v>
      </c>
      <c r="Z159" s="283">
        <v>2013</v>
      </c>
      <c r="AA159" s="283">
        <v>2014</v>
      </c>
      <c r="AB159" s="283">
        <v>2015</v>
      </c>
      <c r="AC159" s="283">
        <v>2016</v>
      </c>
      <c r="AD159" s="283">
        <v>2017</v>
      </c>
      <c r="AE159" s="283">
        <v>2018</v>
      </c>
      <c r="AF159" s="283">
        <v>2019</v>
      </c>
      <c r="AG159" s="283">
        <v>2020</v>
      </c>
      <c r="AH159" s="283">
        <v>2021</v>
      </c>
      <c r="AI159" s="283">
        <v>2022</v>
      </c>
      <c r="AJ159" s="283">
        <v>2023</v>
      </c>
      <c r="AK159" s="283">
        <v>2024</v>
      </c>
      <c r="AL159" s="283">
        <v>2025</v>
      </c>
    </row>
    <row r="160" spans="1:38" s="283" customFormat="1">
      <c r="B160" s="283" t="str">
        <f>B12</f>
        <v>CH4</v>
      </c>
      <c r="C160" s="293">
        <f t="shared" ref="C160:AG160" si="25">C5</f>
        <v>195.50005716668815</v>
      </c>
      <c r="D160" s="293">
        <f t="shared" si="25"/>
        <v>194.69455611062193</v>
      </c>
      <c r="E160" s="293">
        <f t="shared" si="25"/>
        <v>191.27438341701807</v>
      </c>
      <c r="F160" s="293">
        <f t="shared" si="25"/>
        <v>206.78504022344228</v>
      </c>
      <c r="G160" s="293">
        <f t="shared" si="25"/>
        <v>208.54734478378677</v>
      </c>
      <c r="H160" s="293">
        <f t="shared" si="25"/>
        <v>212.57157472831378</v>
      </c>
      <c r="I160" s="293">
        <f t="shared" si="25"/>
        <v>226.83318257847313</v>
      </c>
      <c r="J160" s="293">
        <f t="shared" si="25"/>
        <v>235.75749517688888</v>
      </c>
      <c r="K160" s="293">
        <f t="shared" si="25"/>
        <v>227.01491954785266</v>
      </c>
      <c r="L160" s="293">
        <f t="shared" si="25"/>
        <v>237.54189584625789</v>
      </c>
      <c r="M160" s="293">
        <f t="shared" si="25"/>
        <v>243.40207202268584</v>
      </c>
      <c r="N160" s="293">
        <f t="shared" si="25"/>
        <v>235.4058732946537</v>
      </c>
      <c r="O160" s="293">
        <f t="shared" si="25"/>
        <v>240.21232205894179</v>
      </c>
      <c r="P160" s="293">
        <f t="shared" si="25"/>
        <v>244.38274187201586</v>
      </c>
      <c r="Q160" s="293">
        <f t="shared" si="25"/>
        <v>248.47092359346667</v>
      </c>
      <c r="R160" s="293">
        <f t="shared" si="25"/>
        <v>253.67619923659032</v>
      </c>
      <c r="S160" s="293">
        <f t="shared" si="25"/>
        <v>245.89294191566481</v>
      </c>
      <c r="T160" s="293">
        <f t="shared" si="25"/>
        <v>252.29275642366818</v>
      </c>
      <c r="U160" s="293">
        <f t="shared" si="25"/>
        <v>250.65544710217188</v>
      </c>
      <c r="V160" s="293">
        <f t="shared" si="25"/>
        <v>232.34344149335536</v>
      </c>
      <c r="W160" s="293">
        <f t="shared" si="25"/>
        <v>238.7599116310995</v>
      </c>
      <c r="X160" s="293">
        <f t="shared" si="25"/>
        <v>235.32733255979278</v>
      </c>
      <c r="Y160" s="293">
        <f t="shared" si="25"/>
        <v>221.95519375009638</v>
      </c>
      <c r="Z160" s="293">
        <f t="shared" si="25"/>
        <v>236.20454206572268</v>
      </c>
      <c r="AA160" s="293">
        <f t="shared" si="25"/>
        <v>239.23467640283135</v>
      </c>
      <c r="AB160" s="293">
        <f t="shared" si="25"/>
        <v>223.33016968709853</v>
      </c>
      <c r="AC160" s="293">
        <f t="shared" si="25"/>
        <v>211.17893437613179</v>
      </c>
      <c r="AD160" s="293">
        <f t="shared" si="25"/>
        <v>208.93754429578001</v>
      </c>
      <c r="AE160" s="293">
        <f t="shared" si="25"/>
        <v>215.54370377293691</v>
      </c>
      <c r="AF160" s="293">
        <f t="shared" si="25"/>
        <v>206.34852385207014</v>
      </c>
      <c r="AG160" s="293">
        <f t="shared" si="25"/>
        <v>174.90765204441078</v>
      </c>
      <c r="AH160" s="293">
        <f t="shared" ref="AH160:AL160" si="26">AH5</f>
        <v>0.57498368046821979</v>
      </c>
      <c r="AI160" s="293">
        <f t="shared" si="26"/>
        <v>0</v>
      </c>
      <c r="AJ160" s="293">
        <f t="shared" si="26"/>
        <v>0</v>
      </c>
      <c r="AK160" s="293">
        <f t="shared" si="26"/>
        <v>0</v>
      </c>
      <c r="AL160" s="293">
        <f t="shared" si="26"/>
        <v>0</v>
      </c>
    </row>
    <row r="161" spans="2:38" s="283" customFormat="1">
      <c r="B161" s="283" t="str">
        <f>B21</f>
        <v>N2O</v>
      </c>
      <c r="C161" s="293">
        <f t="shared" ref="C161:AG161" si="27">C12</f>
        <v>23.240449519803914</v>
      </c>
      <c r="D161" s="293">
        <f t="shared" si="27"/>
        <v>23.860557976079079</v>
      </c>
      <c r="E161" s="293">
        <f t="shared" si="27"/>
        <v>24.379782856029831</v>
      </c>
      <c r="F161" s="293">
        <f t="shared" si="27"/>
        <v>23.283181568423259</v>
      </c>
      <c r="G161" s="293">
        <f t="shared" si="27"/>
        <v>24.554536459376273</v>
      </c>
      <c r="H161" s="293">
        <f t="shared" si="27"/>
        <v>24.846302565228466</v>
      </c>
      <c r="I161" s="293">
        <f t="shared" si="27"/>
        <v>24.226866586093347</v>
      </c>
      <c r="J161" s="293">
        <f t="shared" si="27"/>
        <v>23.218324414668675</v>
      </c>
      <c r="K161" s="293">
        <f t="shared" si="27"/>
        <v>21.742543517003174</v>
      </c>
      <c r="L161" s="293">
        <f t="shared" si="27"/>
        <v>21.133680358870919</v>
      </c>
      <c r="M161" s="293">
        <f t="shared" si="27"/>
        <v>20.404477582939322</v>
      </c>
      <c r="N161" s="293">
        <f t="shared" si="27"/>
        <v>13.790912749214272</v>
      </c>
      <c r="O161" s="293">
        <f t="shared" si="27"/>
        <v>15.367483125276433</v>
      </c>
      <c r="P161" s="293">
        <f t="shared" si="27"/>
        <v>16.971239872712719</v>
      </c>
      <c r="Q161" s="293">
        <f t="shared" si="27"/>
        <v>17.742128951789415</v>
      </c>
      <c r="R161" s="293">
        <f t="shared" si="27"/>
        <v>19.549103191288989</v>
      </c>
      <c r="S161" s="293">
        <f t="shared" si="27"/>
        <v>21.021448547423407</v>
      </c>
      <c r="T161" s="293">
        <f t="shared" si="27"/>
        <v>20.704903083487039</v>
      </c>
      <c r="U161" s="293">
        <f t="shared" si="27"/>
        <v>22.153312953925713</v>
      </c>
      <c r="V161" s="293">
        <f t="shared" si="27"/>
        <v>20.960409218335379</v>
      </c>
      <c r="W161" s="293">
        <f t="shared" si="27"/>
        <v>25.421663287971064</v>
      </c>
      <c r="X161" s="293">
        <f t="shared" si="27"/>
        <v>24.451230673511738</v>
      </c>
      <c r="Y161" s="293">
        <f t="shared" si="27"/>
        <v>24.029535204308502</v>
      </c>
      <c r="Z161" s="293">
        <f t="shared" si="27"/>
        <v>22.707633322013095</v>
      </c>
      <c r="AA161" s="293">
        <f t="shared" si="27"/>
        <v>22.856394825265358</v>
      </c>
      <c r="AB161" s="293">
        <f t="shared" si="27"/>
        <v>23.490442094792872</v>
      </c>
      <c r="AC161" s="293">
        <f t="shared" si="27"/>
        <v>24.20033552617625</v>
      </c>
      <c r="AD161" s="293">
        <f t="shared" si="27"/>
        <v>23.483439616633845</v>
      </c>
      <c r="AE161" s="293">
        <f t="shared" si="27"/>
        <v>21.934492345869572</v>
      </c>
      <c r="AF161" s="293">
        <f t="shared" si="27"/>
        <v>19.800405849079745</v>
      </c>
      <c r="AG161" s="293">
        <f t="shared" si="27"/>
        <v>17.797782934988305</v>
      </c>
      <c r="AH161" s="293">
        <f t="shared" ref="AH161:AL161" si="28">AH12</f>
        <v>8.8246465356158375</v>
      </c>
      <c r="AI161" s="293">
        <f t="shared" si="28"/>
        <v>4.1506728251231495</v>
      </c>
      <c r="AJ161" s="293">
        <f t="shared" si="28"/>
        <v>0.32827812681537971</v>
      </c>
      <c r="AK161" s="293">
        <f t="shared" si="28"/>
        <v>0.32270198347361084</v>
      </c>
      <c r="AL161" s="293">
        <f t="shared" si="28"/>
        <v>0.31748190045141383</v>
      </c>
    </row>
    <row r="162" spans="2:38" s="283" customFormat="1">
      <c r="B162" s="283" t="str">
        <f>B29</f>
        <v>HFC, PFC, SF6 and NF3 Emissions</v>
      </c>
      <c r="C162" s="293">
        <f t="shared" ref="C162:AG162" si="29">C21</f>
        <v>25.677960705455835</v>
      </c>
      <c r="D162" s="293">
        <f t="shared" si="29"/>
        <v>24.436301333525979</v>
      </c>
      <c r="E162" s="293">
        <f t="shared" si="29"/>
        <v>25.219671356386385</v>
      </c>
      <c r="F162" s="293">
        <f t="shared" si="29"/>
        <v>26.928085092034539</v>
      </c>
      <c r="G162" s="293">
        <f t="shared" si="29"/>
        <v>26.001311528613261</v>
      </c>
      <c r="H162" s="293">
        <f t="shared" si="29"/>
        <v>24.859156572513694</v>
      </c>
      <c r="I162" s="293">
        <f t="shared" si="29"/>
        <v>26.027555402278509</v>
      </c>
      <c r="J162" s="293">
        <f t="shared" si="29"/>
        <v>24.7644279896287</v>
      </c>
      <c r="K162" s="293">
        <f t="shared" si="29"/>
        <v>25.59039968589288</v>
      </c>
      <c r="L162" s="293">
        <f t="shared" si="29"/>
        <v>25.034704342402058</v>
      </c>
      <c r="M162" s="293">
        <f t="shared" si="29"/>
        <v>24.538326262309955</v>
      </c>
      <c r="N162" s="293">
        <f t="shared" si="29"/>
        <v>25.336581689068467</v>
      </c>
      <c r="O162" s="293">
        <f t="shared" si="29"/>
        <v>24.523589894945605</v>
      </c>
      <c r="P162" s="293">
        <f t="shared" si="29"/>
        <v>23.661534317940163</v>
      </c>
      <c r="Q162" s="293">
        <f t="shared" si="29"/>
        <v>25.676216238198769</v>
      </c>
      <c r="R162" s="293">
        <f t="shared" si="29"/>
        <v>23.546224547387638</v>
      </c>
      <c r="S162" s="293">
        <f t="shared" si="29"/>
        <v>24.549579171430551</v>
      </c>
      <c r="T162" s="293">
        <f t="shared" si="29"/>
        <v>23.701484897980603</v>
      </c>
      <c r="U162" s="293">
        <f t="shared" si="29"/>
        <v>24.726353755789546</v>
      </c>
      <c r="V162" s="293">
        <f t="shared" si="29"/>
        <v>23.127604340190356</v>
      </c>
      <c r="W162" s="293">
        <f t="shared" si="29"/>
        <v>23.142279049620598</v>
      </c>
      <c r="X162" s="293">
        <f t="shared" si="29"/>
        <v>24.078967156892332</v>
      </c>
      <c r="Y162" s="293">
        <f t="shared" si="29"/>
        <v>21.944254498935994</v>
      </c>
      <c r="Z162" s="293">
        <f t="shared" si="29"/>
        <v>25.671304425199654</v>
      </c>
      <c r="AA162" s="293">
        <f t="shared" si="29"/>
        <v>27.125013264884998</v>
      </c>
      <c r="AB162" s="293">
        <f t="shared" si="29"/>
        <v>25.647345162986785</v>
      </c>
      <c r="AC162" s="293">
        <f t="shared" si="29"/>
        <v>24.784243009684641</v>
      </c>
      <c r="AD162" s="293">
        <f t="shared" si="29"/>
        <v>25.81283257444499</v>
      </c>
      <c r="AE162" s="293">
        <f t="shared" si="29"/>
        <v>28.000567508527592</v>
      </c>
      <c r="AF162" s="293">
        <f t="shared" si="29"/>
        <v>25.559099262734559</v>
      </c>
      <c r="AG162" s="293">
        <f t="shared" si="29"/>
        <v>24.517993323289822</v>
      </c>
      <c r="AH162" s="293">
        <f t="shared" ref="AH162:AL162" si="30">AH21</f>
        <v>21.997690040529505</v>
      </c>
      <c r="AI162" s="293">
        <f t="shared" si="30"/>
        <v>0</v>
      </c>
      <c r="AJ162" s="293">
        <f t="shared" si="30"/>
        <v>0</v>
      </c>
      <c r="AK162" s="293">
        <f t="shared" si="30"/>
        <v>0</v>
      </c>
      <c r="AL162" s="293">
        <f t="shared" si="30"/>
        <v>0</v>
      </c>
    </row>
    <row r="163" spans="2:38" s="283" customFormat="1">
      <c r="C163" s="293">
        <f t="shared" ref="C163:R163" si="31">C29</f>
        <v>0.99394540829774081</v>
      </c>
      <c r="D163" s="293">
        <f t="shared" si="31"/>
        <v>0.99067246048659274</v>
      </c>
      <c r="E163" s="293">
        <f t="shared" si="31"/>
        <v>1.0099566154143986</v>
      </c>
      <c r="F163" s="293">
        <f t="shared" si="31"/>
        <v>1.1969466250931935</v>
      </c>
      <c r="G163" s="293">
        <f t="shared" si="31"/>
        <v>1.5700507714815326</v>
      </c>
      <c r="H163" s="293">
        <f t="shared" si="31"/>
        <v>2.3497105439309989</v>
      </c>
      <c r="I163" s="293">
        <f t="shared" si="31"/>
        <v>2.8611911731790185</v>
      </c>
      <c r="J163" s="293">
        <f t="shared" si="31"/>
        <v>3.3665966790034254</v>
      </c>
      <c r="K163" s="293">
        <f t="shared" si="31"/>
        <v>3.682186184405511</v>
      </c>
      <c r="L163" s="293">
        <f t="shared" si="31"/>
        <v>4.1256067726448249</v>
      </c>
      <c r="M163" s="293">
        <f t="shared" si="31"/>
        <v>4.4423809976349107</v>
      </c>
      <c r="N163" s="293">
        <f t="shared" si="31"/>
        <v>4.7560250800276007</v>
      </c>
      <c r="O163" s="293">
        <f t="shared" si="31"/>
        <v>4.9442431666068689</v>
      </c>
      <c r="P163" s="293">
        <f t="shared" si="31"/>
        <v>5.0829174693225934</v>
      </c>
      <c r="Q163" s="293">
        <f t="shared" si="31"/>
        <v>5.2116235564449029</v>
      </c>
      <c r="R163" s="293">
        <f t="shared" si="31"/>
        <v>5.3589716549770712</v>
      </c>
      <c r="S163" s="293">
        <f t="shared" ref="S163:AG163" si="32">S29</f>
        <v>5.5743062798414718</v>
      </c>
      <c r="T163" s="293">
        <f t="shared" si="32"/>
        <v>5.8586265258187833</v>
      </c>
      <c r="U163" s="293">
        <f t="shared" si="32"/>
        <v>6.2221682781912824</v>
      </c>
      <c r="V163" s="293">
        <f t="shared" si="32"/>
        <v>5.4575487892822565</v>
      </c>
      <c r="W163" s="293">
        <f t="shared" si="32"/>
        <v>6.9126058429003772</v>
      </c>
      <c r="X163" s="293">
        <f t="shared" si="32"/>
        <v>6.7800999295717288</v>
      </c>
      <c r="Y163" s="293">
        <f t="shared" si="32"/>
        <v>7.2211791862668795</v>
      </c>
      <c r="Z163" s="293">
        <f t="shared" si="32"/>
        <v>6.4522805204107803</v>
      </c>
      <c r="AA163" s="293">
        <f t="shared" si="32"/>
        <v>6.2057614521048308</v>
      </c>
      <c r="AB163" s="293">
        <f t="shared" si="32"/>
        <v>6.2705355197389823</v>
      </c>
      <c r="AC163" s="293">
        <f t="shared" si="32"/>
        <v>6.2518994634456231</v>
      </c>
      <c r="AD163" s="293">
        <f t="shared" si="32"/>
        <v>6.1685684270592613</v>
      </c>
      <c r="AE163" s="293">
        <f t="shared" si="32"/>
        <v>6.1408654239072247</v>
      </c>
      <c r="AF163" s="293">
        <f t="shared" si="32"/>
        <v>6.2303038335552499</v>
      </c>
      <c r="AG163" s="293">
        <f t="shared" si="32"/>
        <v>6.2796792521486804</v>
      </c>
      <c r="AH163" s="293">
        <f t="shared" ref="AH163:AL163" si="33">AH29</f>
        <v>0</v>
      </c>
      <c r="AI163" s="293">
        <f t="shared" si="33"/>
        <v>0</v>
      </c>
      <c r="AJ163" s="293">
        <f t="shared" si="33"/>
        <v>0</v>
      </c>
      <c r="AK163" s="293">
        <f t="shared" si="33"/>
        <v>0</v>
      </c>
      <c r="AL163" s="293">
        <f t="shared" si="33"/>
        <v>0</v>
      </c>
    </row>
    <row r="164" spans="2:38" s="283" customFormat="1">
      <c r="C164" s="294"/>
      <c r="D164" s="294"/>
      <c r="E164" s="294"/>
      <c r="F164" s="294"/>
      <c r="G164" s="294"/>
      <c r="H164" s="294"/>
      <c r="I164" s="294"/>
      <c r="J164" s="294"/>
      <c r="K164" s="294"/>
      <c r="L164" s="294"/>
      <c r="M164" s="294"/>
      <c r="N164" s="294"/>
      <c r="O164" s="294"/>
      <c r="P164" s="294"/>
      <c r="Q164" s="294"/>
      <c r="R164" s="294"/>
      <c r="S164" s="279"/>
    </row>
    <row r="165" spans="2:38" s="283" customFormat="1">
      <c r="S165" s="279"/>
    </row>
    <row r="166" spans="2:38" s="283" customFormat="1">
      <c r="B166" s="283" t="str">
        <f>"GHG Emissions by Gas "&amp;GasPieYear</f>
        <v>GHG Emissions by Gas 2020</v>
      </c>
      <c r="S166" s="279"/>
    </row>
    <row r="167" spans="2:38" s="283" customFormat="1">
      <c r="B167" s="283" t="s">
        <v>242</v>
      </c>
      <c r="C167" s="283">
        <f>GasPieYear</f>
        <v>2020</v>
      </c>
      <c r="S167" s="279"/>
    </row>
    <row r="168" spans="2:38" s="283" customFormat="1">
      <c r="B168" s="283" t="s">
        <v>243</v>
      </c>
      <c r="C168" s="283">
        <f>HLOOKUP($C$167,$C$159:$AL$163,2,FALSE)</f>
        <v>174.90765204441078</v>
      </c>
      <c r="S168" s="279"/>
    </row>
    <row r="169" spans="2:38" s="283" customFormat="1">
      <c r="B169" s="283" t="s">
        <v>244</v>
      </c>
      <c r="C169" s="283">
        <f>HLOOKUP($C$167,$C$159:$AL$163,3,FALSE)</f>
        <v>17.797782934988305</v>
      </c>
      <c r="S169" s="279"/>
    </row>
    <row r="170" spans="2:38" s="283" customFormat="1">
      <c r="B170" s="283" t="s">
        <v>245</v>
      </c>
      <c r="C170" s="283">
        <f>HLOOKUP($C$167,$C$159:$AL$163,4,FALSE)</f>
        <v>24.517993323289822</v>
      </c>
      <c r="S170" s="279"/>
    </row>
    <row r="171" spans="2:38" s="283" customFormat="1">
      <c r="C171" s="283">
        <f>HLOOKUP($C$167,$C$159:$AL$163,5,FALSE)</f>
        <v>6.2796792521486804</v>
      </c>
      <c r="S171" s="279"/>
    </row>
    <row r="172" spans="2:38" s="283" customFormat="1">
      <c r="S172" s="279"/>
    </row>
    <row r="173" spans="2:38" s="283" customFormat="1">
      <c r="S173" s="279"/>
    </row>
    <row r="174" spans="2:38" s="290" customFormat="1">
      <c r="S174" s="291"/>
    </row>
    <row r="175" spans="2:38" s="290" customFormat="1">
      <c r="S175" s="291"/>
    </row>
    <row r="176" spans="2:38" s="290" customFormat="1">
      <c r="S176" s="291"/>
    </row>
    <row r="177" spans="19:19" s="290" customFormat="1">
      <c r="S177" s="291"/>
    </row>
    <row r="178" spans="19:19" s="290" customFormat="1">
      <c r="S178" s="291"/>
    </row>
  </sheetData>
  <sheetProtection algorithmName="SHA-512" hashValue="FWKt33msyBoJFZviTSWhgxljP8hL/pBUD3Id4as1VQoRaB4HHp6HX8zpfA4Rpzkg2K0NnZH7ccv82C21U3Pk5A==" saltValue="Tq5v8xLHmeYWUF1vgSTIYA==" spinCount="100000" sheet="1" objects="1" scenarios="1"/>
  <mergeCells count="1">
    <mergeCell ref="A1:E1"/>
  </mergeCells>
  <phoneticPr fontId="17" type="noConversion"/>
  <pageMargins left="0.75" right="0.75" top="1" bottom="1"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 r:id="rId4" name="Spinner 18">
              <controlPr defaultSize="0" autoPict="0">
                <anchor moveWithCells="1" sizeWithCells="1">
                  <from>
                    <xdr:col>11</xdr:col>
                    <xdr:colOff>546100</xdr:colOff>
                    <xdr:row>41</xdr:row>
                    <xdr:rowOff>50800</xdr:rowOff>
                  </from>
                  <to>
                    <xdr:col>13</xdr:col>
                    <xdr:colOff>146050</xdr:colOff>
                    <xdr:row>43</xdr:row>
                    <xdr:rowOff>95250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AL110"/>
  <sheetViews>
    <sheetView showGridLines="0" showRowColHeaders="0" zoomScale="115" zoomScaleNormal="115" workbookViewId="0">
      <selection activeCell="B6" sqref="B6"/>
    </sheetView>
  </sheetViews>
  <sheetFormatPr defaultColWidth="9.1796875" defaultRowHeight="15.5"/>
  <cols>
    <col min="1" max="1" width="4.54296875" style="121" customWidth="1"/>
    <col min="2" max="2" width="35.1796875" style="121" customWidth="1"/>
    <col min="3" max="3" width="11.26953125" style="121" customWidth="1"/>
    <col min="4" max="4" width="10.81640625" style="121" customWidth="1"/>
    <col min="5" max="9" width="9.1796875" style="121"/>
    <col min="10" max="10" width="9.54296875" style="121" bestFit="1" customWidth="1"/>
    <col min="11" max="16384" width="9.1796875" style="121"/>
  </cols>
  <sheetData>
    <row r="1" spans="1:38" ht="40.5" customHeight="1">
      <c r="A1" s="426" t="str">
        <f>"Summary of GHG Emissions by Sector in "&amp;StateName&amp;" ("&amp;Units&amp;")"</f>
        <v>Summary of GHG Emissions by Sector in Illinois (MMTCO2E)</v>
      </c>
      <c r="B1" s="426"/>
      <c r="C1" s="426"/>
      <c r="D1" s="426"/>
      <c r="E1" s="426"/>
      <c r="F1" s="143"/>
    </row>
    <row r="3" spans="1:38">
      <c r="C3" s="147"/>
    </row>
    <row r="4" spans="1:38" ht="16" thickBot="1">
      <c r="A4" s="122"/>
      <c r="B4" s="20" t="s">
        <v>208</v>
      </c>
      <c r="C4" s="20">
        <v>1990</v>
      </c>
      <c r="D4" s="20">
        <v>1991</v>
      </c>
      <c r="E4" s="20">
        <v>1992</v>
      </c>
      <c r="F4" s="20">
        <v>1993</v>
      </c>
      <c r="G4" s="20">
        <v>1994</v>
      </c>
      <c r="H4" s="20">
        <v>1995</v>
      </c>
      <c r="I4" s="20">
        <v>1996</v>
      </c>
      <c r="J4" s="20">
        <v>1997</v>
      </c>
      <c r="K4" s="20">
        <v>1998</v>
      </c>
      <c r="L4" s="20">
        <v>1999</v>
      </c>
      <c r="M4" s="20">
        <v>2000</v>
      </c>
      <c r="N4" s="20">
        <v>2001</v>
      </c>
      <c r="O4" s="20">
        <v>2002</v>
      </c>
      <c r="P4" s="20">
        <v>2003</v>
      </c>
      <c r="Q4" s="20">
        <v>2004</v>
      </c>
      <c r="R4" s="20">
        <v>2005</v>
      </c>
      <c r="S4" s="20">
        <v>2006</v>
      </c>
      <c r="T4" s="20">
        <v>2007</v>
      </c>
      <c r="U4" s="20">
        <v>2008</v>
      </c>
      <c r="V4" s="20">
        <v>2009</v>
      </c>
      <c r="W4" s="20">
        <v>2010</v>
      </c>
      <c r="X4" s="20">
        <v>2011</v>
      </c>
      <c r="Y4" s="20">
        <v>2012</v>
      </c>
      <c r="Z4" s="20">
        <v>2013</v>
      </c>
      <c r="AA4" s="20">
        <v>2014</v>
      </c>
      <c r="AB4" s="20">
        <v>2015</v>
      </c>
      <c r="AC4" s="20">
        <v>2016</v>
      </c>
      <c r="AD4" s="20">
        <v>2017</v>
      </c>
      <c r="AE4" s="20">
        <v>2018</v>
      </c>
      <c r="AF4" s="20">
        <v>2019</v>
      </c>
      <c r="AG4" s="20">
        <v>2020</v>
      </c>
      <c r="AH4" s="20">
        <v>2021</v>
      </c>
      <c r="AI4" s="20">
        <v>2022</v>
      </c>
      <c r="AJ4" s="20">
        <v>2023</v>
      </c>
      <c r="AK4" s="20">
        <v>2024</v>
      </c>
      <c r="AL4" s="20">
        <v>2025</v>
      </c>
    </row>
    <row r="5" spans="1:38" s="18" customFormat="1" ht="13">
      <c r="B5" s="144" t="s">
        <v>217</v>
      </c>
      <c r="C5" s="202">
        <f t="shared" ref="C5:F5" si="0">SUM(C6:C10)</f>
        <v>200.65173564340881</v>
      </c>
      <c r="D5" s="202">
        <f t="shared" si="0"/>
        <v>200.28840459646244</v>
      </c>
      <c r="E5" s="202">
        <f t="shared" si="0"/>
        <v>197.21965910125448</v>
      </c>
      <c r="F5" s="202">
        <f t="shared" si="0"/>
        <v>211.40428679546545</v>
      </c>
      <c r="G5" s="202">
        <f t="shared" ref="G5:L5" si="1">SUM(G6:G10)</f>
        <v>213.9420465823375</v>
      </c>
      <c r="H5" s="202">
        <f t="shared" si="1"/>
        <v>217.86712367980286</v>
      </c>
      <c r="I5" s="202">
        <f t="shared" si="1"/>
        <v>231.89657354684482</v>
      </c>
      <c r="J5" s="202">
        <f t="shared" si="1"/>
        <v>233.860717553222</v>
      </c>
      <c r="K5" s="202">
        <f t="shared" si="1"/>
        <v>224.98704617457764</v>
      </c>
      <c r="L5" s="202">
        <f t="shared" si="1"/>
        <v>235.72621658741835</v>
      </c>
      <c r="M5" s="202">
        <f t="shared" ref="M5:R5" si="2">SUM(M6:M10)</f>
        <v>242.71531308676649</v>
      </c>
      <c r="N5" s="202">
        <f t="shared" si="2"/>
        <v>234.73690270619045</v>
      </c>
      <c r="O5" s="202">
        <f t="shared" si="2"/>
        <v>238.05700162924131</v>
      </c>
      <c r="P5" s="202">
        <f t="shared" si="2"/>
        <v>241.2302815186427</v>
      </c>
      <c r="Q5" s="202">
        <f t="shared" si="2"/>
        <v>247.43115473035212</v>
      </c>
      <c r="R5" s="202">
        <f t="shared" si="2"/>
        <v>252.88858261099614</v>
      </c>
      <c r="S5" s="202">
        <f t="shared" ref="S5:AF5" si="3">SUM(S6:S10)</f>
        <v>245.28596933063011</v>
      </c>
      <c r="T5" s="202">
        <f t="shared" si="3"/>
        <v>250.27345114764816</v>
      </c>
      <c r="U5" s="202">
        <f t="shared" si="3"/>
        <v>251.26922559446646</v>
      </c>
      <c r="V5" s="202">
        <f t="shared" si="3"/>
        <v>235.73204272918395</v>
      </c>
      <c r="W5" s="202">
        <f t="shared" si="3"/>
        <v>244.5994951562264</v>
      </c>
      <c r="X5" s="202">
        <f t="shared" si="3"/>
        <v>240.9051068855145</v>
      </c>
      <c r="Y5" s="202">
        <f t="shared" si="3"/>
        <v>228.3816084939383</v>
      </c>
      <c r="Z5" s="202">
        <f t="shared" si="3"/>
        <v>242.19308791270535</v>
      </c>
      <c r="AA5" s="202">
        <f t="shared" si="3"/>
        <v>245.27158051769385</v>
      </c>
      <c r="AB5" s="202">
        <f t="shared" si="3"/>
        <v>229.59312033419707</v>
      </c>
      <c r="AC5" s="202">
        <f t="shared" si="3"/>
        <v>217.78380613587751</v>
      </c>
      <c r="AD5" s="202">
        <f t="shared" si="3"/>
        <v>214.32599845986439</v>
      </c>
      <c r="AE5" s="202">
        <f t="shared" si="3"/>
        <v>220.15889807406501</v>
      </c>
      <c r="AF5" s="202">
        <f t="shared" si="3"/>
        <v>210.46702154236038</v>
      </c>
      <c r="AG5" s="202">
        <f>SUM(AG6:AG10)</f>
        <v>177.79470932495255</v>
      </c>
      <c r="AH5" s="202">
        <f t="shared" ref="AH5:AL5" si="4">SUM(AH6:AH10)</f>
        <v>4.1559464073343753</v>
      </c>
      <c r="AI5" s="202">
        <f t="shared" si="4"/>
        <v>4.1506728251231495</v>
      </c>
      <c r="AJ5" s="202">
        <f t="shared" si="4"/>
        <v>0.32827812681537971</v>
      </c>
      <c r="AK5" s="202">
        <f t="shared" si="4"/>
        <v>0.32270198347361084</v>
      </c>
      <c r="AL5" s="202">
        <f t="shared" si="4"/>
        <v>0.31748190045141383</v>
      </c>
    </row>
    <row r="6" spans="1:38">
      <c r="A6" s="122"/>
      <c r="B6" s="23" t="s">
        <v>218</v>
      </c>
      <c r="C6" s="37">
        <f>CO2FFC!C31*UFactor</f>
        <v>192.00128729933954</v>
      </c>
      <c r="D6" s="37">
        <f>CO2FFC!D31*UFactor</f>
        <v>191.43093412637785</v>
      </c>
      <c r="E6" s="37">
        <f>CO2FFC!E31*UFactor</f>
        <v>187.93123456511</v>
      </c>
      <c r="F6" s="37">
        <f>CO2FFC!F31*UFactor</f>
        <v>203.43038709246647</v>
      </c>
      <c r="G6" s="37">
        <f>CO2FFC!G31*UFactor</f>
        <v>204.86631679901208</v>
      </c>
      <c r="H6" s="37">
        <f>CO2FFC!H31*UFactor</f>
        <v>208.53515903901743</v>
      </c>
      <c r="I6" s="37">
        <f>CO2FFC!I31*UFactor</f>
        <v>222.75236282629331</v>
      </c>
      <c r="J6" s="37">
        <f>CO2FFC!J31*UFactor</f>
        <v>225.30127628504704</v>
      </c>
      <c r="K6" s="37">
        <f>CO2FFC!K31*UFactor</f>
        <v>217.01625196922168</v>
      </c>
      <c r="L6" s="37">
        <f>CO2FFC!L31*UFactor</f>
        <v>227.92539211045872</v>
      </c>
      <c r="M6" s="37">
        <f>CO2FFC!M31*UFactor</f>
        <v>234.6341139895847</v>
      </c>
      <c r="N6" s="37">
        <f>CO2FFC!N31*UFactor</f>
        <v>227.55289721865566</v>
      </c>
      <c r="O6" s="37">
        <f>CO2FFC!O31*UFactor</f>
        <v>231.65041771571984</v>
      </c>
      <c r="P6" s="37">
        <f>CO2FFC!P31*UFactor</f>
        <v>235.38947204236041</v>
      </c>
      <c r="Q6" s="37">
        <f>CO2FFC!Q31*UFactor</f>
        <v>241.11804559717348</v>
      </c>
      <c r="R6" s="37">
        <f>CO2FFC!R31*UFactor</f>
        <v>246.38239316560768</v>
      </c>
      <c r="S6" s="37">
        <f>CO2FFC!S31*UFactor</f>
        <v>238.7279405930035</v>
      </c>
      <c r="T6" s="37">
        <f>CO2FFC!T31*UFactor</f>
        <v>245.20844218097554</v>
      </c>
      <c r="U6" s="37">
        <f>CO2FFC!U31*UFactor</f>
        <v>244.56038926326252</v>
      </c>
      <c r="V6" s="37">
        <f>CO2FFC!V31*UFactor</f>
        <v>229.37762040436894</v>
      </c>
      <c r="W6" s="37">
        <f>CO2FFC!W31*UFactor</f>
        <v>233.57691777684082</v>
      </c>
      <c r="X6" s="37">
        <f>CO2FFC!X31*UFactor</f>
        <v>230.45962255370188</v>
      </c>
      <c r="Y6" s="37">
        <f>CO2FFC!Y31*UFactor</f>
        <v>216.96860866655291</v>
      </c>
      <c r="Z6" s="37">
        <f>CO2FFC!Z31*UFactor</f>
        <v>231.20349691744337</v>
      </c>
      <c r="AA6" s="37">
        <f>CO2FFC!AA31*UFactor</f>
        <v>234.14997267252511</v>
      </c>
      <c r="AB6" s="37">
        <f>CO2FFC!AB31*UFactor</f>
        <v>218.09520668975716</v>
      </c>
      <c r="AC6" s="37">
        <f>CO2FFC!AC31*UFactor</f>
        <v>206.15679152127825</v>
      </c>
      <c r="AD6" s="37">
        <f>CO2FFC!AD31*UFactor</f>
        <v>204.11774148220354</v>
      </c>
      <c r="AE6" s="37">
        <f>CO2FFC!AE31*UFactor</f>
        <v>211.06744965905455</v>
      </c>
      <c r="AF6" s="37">
        <f>CO2FFC!AF31*UFactor</f>
        <v>201.84714769526832</v>
      </c>
      <c r="AG6" s="37">
        <f>CO2FFC!AG31*UFactor</f>
        <v>170.2766049694882</v>
      </c>
      <c r="AH6" s="37">
        <f>CO2FFC!AH31*UFactor</f>
        <v>0</v>
      </c>
      <c r="AI6" s="37">
        <f>CO2FFC!AI31*UFactor</f>
        <v>0</v>
      </c>
      <c r="AJ6" s="37">
        <f>CO2FFC!AJ31*UFactor</f>
        <v>0</v>
      </c>
      <c r="AK6" s="37">
        <f>CO2FFC!AK31*UFactor</f>
        <v>0</v>
      </c>
      <c r="AL6" s="37">
        <f>CO2FFC!AL31*UFactor</f>
        <v>0</v>
      </c>
    </row>
    <row r="7" spans="1:38">
      <c r="A7" s="122"/>
      <c r="B7" s="23" t="s">
        <v>6</v>
      </c>
      <c r="C7" s="37">
        <f>Stationary!C20*UFactor</f>
        <v>0.89531313938519996</v>
      </c>
      <c r="D7" s="37">
        <f>Stationary!D20*UFactor</f>
        <v>0.91538170489133985</v>
      </c>
      <c r="E7" s="37">
        <f>Stationary!E20*UFactor</f>
        <v>0.90882901639663993</v>
      </c>
      <c r="F7" s="37">
        <f>Stationary!F20*UFactor</f>
        <v>0.79258363868239989</v>
      </c>
      <c r="G7" s="37">
        <f>Stationary!G20*UFactor</f>
        <v>0.79184092445453991</v>
      </c>
      <c r="H7" s="37">
        <f>Stationary!H20*UFactor</f>
        <v>0.79549169733280001</v>
      </c>
      <c r="I7" s="37">
        <f>Stationary!I20*UFactor</f>
        <v>0.85769140214632</v>
      </c>
      <c r="J7" s="37">
        <f>Stationary!J20*UFactor</f>
        <v>0.81730732734209999</v>
      </c>
      <c r="K7" s="37">
        <f>Stationary!K20*UFactor</f>
        <v>0.76209943688247994</v>
      </c>
      <c r="L7" s="37">
        <f>Stationary!L20*UFactor</f>
        <v>0.78232473597235996</v>
      </c>
      <c r="M7" s="37">
        <f>Stationary!M20*UFactor</f>
        <v>0.8084146386594</v>
      </c>
      <c r="N7" s="37">
        <f>Stationary!N20*UFactor</f>
        <v>0.8240196280144001</v>
      </c>
      <c r="O7" s="37">
        <f>Stationary!O20*UFactor</f>
        <v>0.83113993893032001</v>
      </c>
      <c r="P7" s="37">
        <f>Stationary!P20*UFactor</f>
        <v>0.8525677374631998</v>
      </c>
      <c r="Q7" s="37">
        <f>Stationary!Q20*UFactor</f>
        <v>0.87007742502023988</v>
      </c>
      <c r="R7" s="37">
        <f>Stationary!R20*UFactor</f>
        <v>0.74820543933650008</v>
      </c>
      <c r="S7" s="37">
        <f>Stationary!S20*UFactor</f>
        <v>0.73166796144351998</v>
      </c>
      <c r="T7" s="37">
        <f>Stationary!T20*UFactor</f>
        <v>0.76437090948009989</v>
      </c>
      <c r="U7" s="37">
        <f>Stationary!U20*UFactor</f>
        <v>0.78336771286739992</v>
      </c>
      <c r="V7" s="37">
        <f>Stationary!V20*UFactor</f>
        <v>0.79449345440439978</v>
      </c>
      <c r="W7" s="37">
        <f>Stationary!W20*UFactor</f>
        <v>0.83055492034383982</v>
      </c>
      <c r="X7" s="37">
        <f>Stationary!X20*UFactor</f>
        <v>0.81864424555134008</v>
      </c>
      <c r="Y7" s="37">
        <f>Stationary!Y20*UFactor</f>
        <v>0.74595393718133984</v>
      </c>
      <c r="Z7" s="37">
        <f>Stationary!Z20*UFactor</f>
        <v>0.83277275883000001</v>
      </c>
      <c r="AA7" s="37">
        <f>Stationary!AA20*UFactor</f>
        <v>0.83873879867105983</v>
      </c>
      <c r="AB7" s="37">
        <f>Stationary!AB20*UFactor</f>
        <v>0.64756786039626002</v>
      </c>
      <c r="AC7" s="37">
        <f>Stationary!AC20*UFactor</f>
        <v>0.57869155612028</v>
      </c>
      <c r="AD7" s="37">
        <f>Stationary!AD20*UFactor</f>
        <v>0.56438894568251996</v>
      </c>
      <c r="AE7" s="37">
        <f>Stationary!AE20*UFactor</f>
        <v>0.60019991978000009</v>
      </c>
      <c r="AF7" s="37">
        <f>Stationary!AF20*UFactor</f>
        <v>0.56372686937999994</v>
      </c>
      <c r="AG7" s="37">
        <f>Stationary!AG20*UFactor</f>
        <v>0.45659002858999992</v>
      </c>
      <c r="AH7" s="37">
        <f>Stationary!AH20*UFactor</f>
        <v>0</v>
      </c>
      <c r="AI7" s="37">
        <f>Stationary!AI20*UFactor</f>
        <v>0</v>
      </c>
      <c r="AJ7" s="37">
        <f>Stationary!AJ20*UFactor</f>
        <v>0</v>
      </c>
      <c r="AK7" s="37">
        <f>Stationary!AK20*UFactor</f>
        <v>0</v>
      </c>
      <c r="AL7" s="37">
        <f>Stationary!AL20*UFactor</f>
        <v>0</v>
      </c>
    </row>
    <row r="8" spans="1:38">
      <c r="A8" s="122"/>
      <c r="B8" s="23" t="s">
        <v>7</v>
      </c>
      <c r="C8" s="37">
        <f>('Mobile Combustion'!C27/10^6)*UFactor</f>
        <v>1.7465683923797071</v>
      </c>
      <c r="D8" s="37">
        <f>('Mobile Combustion'!D27/10^6)*UFactor</f>
        <v>1.828475408039085</v>
      </c>
      <c r="E8" s="37">
        <f>('Mobile Combustion'!E27/10^6)*UFactor</f>
        <v>1.9195806209670911</v>
      </c>
      <c r="F8" s="37">
        <f>('Mobile Combustion'!F27/10^6)*UFactor</f>
        <v>2.0737317213477517</v>
      </c>
      <c r="G8" s="37">
        <f>('Mobile Combustion'!G27/10^6)*UFactor</f>
        <v>2.0957082419960571</v>
      </c>
      <c r="H8" s="37">
        <f>('Mobile Combustion'!H27/10^6)*UFactor</f>
        <v>2.1402108706387639</v>
      </c>
      <c r="I8" s="37">
        <f>('Mobile Combustion'!I27/10^6)*UFactor</f>
        <v>2.1849159010033476</v>
      </c>
      <c r="J8" s="37">
        <f>('Mobile Combustion'!J27/10^6)*UFactor</f>
        <v>2.2030837180901766</v>
      </c>
      <c r="K8" s="37">
        <f>('Mobile Combustion'!K27/10^6)*UFactor</f>
        <v>2.2179380502122679</v>
      </c>
      <c r="L8" s="37">
        <f>('Mobile Combustion'!L27/10^6)*UFactor</f>
        <v>2.0881710880597288</v>
      </c>
      <c r="M8" s="37">
        <f>('Mobile Combustion'!M27/10^6)*UFactor</f>
        <v>2.0266838511180807</v>
      </c>
      <c r="N8" s="37">
        <f>('Mobile Combustion'!N27/10^6)*UFactor</f>
        <v>1.8828593345025699</v>
      </c>
      <c r="O8" s="37">
        <f>('Mobile Combustion'!O27/10^6)*UFactor</f>
        <v>1.80815363121405</v>
      </c>
      <c r="P8" s="37">
        <f>('Mobile Combustion'!P27/10^6)*UFactor</f>
        <v>1.7619732655656442</v>
      </c>
      <c r="Q8" s="37">
        <f>('Mobile Combustion'!Q27/10^6)*UFactor</f>
        <v>1.6631608808700191</v>
      </c>
      <c r="R8" s="37">
        <f>('Mobile Combustion'!R27/10^6)*UFactor</f>
        <v>1.6174410562919193</v>
      </c>
      <c r="S8" s="37">
        <f>('Mobile Combustion'!S27/10^6)*UFactor</f>
        <v>1.4963371104116634</v>
      </c>
      <c r="T8" s="37">
        <f>('Mobile Combustion'!T27/10^6)*UFactor</f>
        <v>1.2974235992733363</v>
      </c>
      <c r="U8" s="37">
        <f>('Mobile Combustion'!U27/10^6)*UFactor</f>
        <v>1.2146508626006109</v>
      </c>
      <c r="V8" s="37">
        <f>('Mobile Combustion'!V27/10^6)*UFactor</f>
        <v>1.0726107279384312</v>
      </c>
      <c r="W8" s="37">
        <f>('Mobile Combustion'!W27/10^6)*UFactor</f>
        <v>1.1494632489246519</v>
      </c>
      <c r="X8" s="37">
        <f>('Mobile Combustion'!X27/10^6)*UFactor</f>
        <v>1.0903804118851488</v>
      </c>
      <c r="Y8" s="37">
        <f>('Mobile Combustion'!Y27/10^6)*UFactor</f>
        <v>1.0342697747489626</v>
      </c>
      <c r="Z8" s="37">
        <f>('Mobile Combustion'!Z27/10^6)*UFactor</f>
        <v>0.96683468403674333</v>
      </c>
      <c r="AA8" s="37">
        <f>('Mobile Combustion'!AA27/10^6)*UFactor</f>
        <v>0.9123636882156787</v>
      </c>
      <c r="AB8" s="37">
        <f>('Mobile Combustion'!AB27/10^6)*UFactor</f>
        <v>0.82397467102343114</v>
      </c>
      <c r="AC8" s="37">
        <f>('Mobile Combustion'!AC27/10^6)*UFactor</f>
        <v>0.79538033656283158</v>
      </c>
      <c r="AD8" s="37">
        <f>('Mobile Combustion'!AD27/10^6)*UFactor</f>
        <v>0.761517702865534</v>
      </c>
      <c r="AE8" s="37">
        <f>('Mobile Combustion'!AE27/10^6)*UFactor</f>
        <v>0.72746718934743115</v>
      </c>
      <c r="AF8" s="37">
        <f>('Mobile Combustion'!AF27/10^6)*UFactor</f>
        <v>0.74228263915467307</v>
      </c>
      <c r="AG8" s="37">
        <f>('Mobile Combustion'!AG27/10^6)*UFactor</f>
        <v>0.60210918537664959</v>
      </c>
      <c r="AH8" s="37">
        <f>('Mobile Combustion'!AH27/10^6)*UFactor</f>
        <v>0</v>
      </c>
      <c r="AI8" s="37">
        <f>('Mobile Combustion'!AI27/10^6)*UFactor</f>
        <v>0</v>
      </c>
      <c r="AJ8" s="37">
        <f>('Mobile Combustion'!AJ27/10^6)*UFactor</f>
        <v>0</v>
      </c>
      <c r="AK8" s="37">
        <f>('Mobile Combustion'!AK27/10^6)*UFactor</f>
        <v>0</v>
      </c>
      <c r="AL8" s="37">
        <f>('Mobile Combustion'!AL27/10^6)*UFactor</f>
        <v>0</v>
      </c>
    </row>
    <row r="9" spans="1:38">
      <c r="A9" s="122"/>
      <c r="B9" s="23" t="s">
        <v>8</v>
      </c>
      <c r="C9" s="37">
        <f>((Coal!C5+Coal!C6+Coal!C10)/10^6)*UFactor</f>
        <v>5.6095730522525251</v>
      </c>
      <c r="D9" s="37">
        <f>((Coal!D5+Coal!D6+Coal!D10)/10^6)*UFactor</f>
        <v>5.7316163230608126</v>
      </c>
      <c r="E9" s="37">
        <f>((Coal!E5+Coal!E6+Coal!E10)/10^6)*UFactor</f>
        <v>6.0682569698323219</v>
      </c>
      <c r="F9" s="37">
        <f>((Coal!F5+Coal!F6+Coal!F10)/10^6)*UFactor</f>
        <v>4.7383538301402499</v>
      </c>
      <c r="G9" s="37">
        <f>((Coal!G5+Coal!G6+Coal!G10)/10^6)*UFactor</f>
        <v>5.8160582071118139</v>
      </c>
      <c r="H9" s="37">
        <f>((Coal!H5+Coal!H6+Coal!H10)/10^6)*UFactor</f>
        <v>6.041098884221106</v>
      </c>
      <c r="I9" s="37">
        <f>((Coal!I5+Coal!I6+Coal!I10)/10^6)*UFactor</f>
        <v>5.7511454563557791</v>
      </c>
      <c r="J9" s="37">
        <f>((Coal!J5+Coal!J6+Coal!J10)/10^6)*UFactor</f>
        <v>5.1833555609672377</v>
      </c>
      <c r="K9" s="37">
        <f>((Coal!K5+Coal!K6+Coal!K10)/10^6)*UFactor</f>
        <v>4.6993001369882723</v>
      </c>
      <c r="L9" s="37">
        <f>((Coal!L5+Coal!L6+Coal!L10)/10^6)*UFactor</f>
        <v>4.6494204361978326</v>
      </c>
      <c r="M9" s="37">
        <f>((Coal!M5+Coal!M6+Coal!M10)/10^6)*UFactor</f>
        <v>4.9655778923927656</v>
      </c>
      <c r="N9" s="37">
        <f>((Coal!N5+Coal!N6+Coal!N10)/10^6)*UFactor</f>
        <v>4.2388340316071167</v>
      </c>
      <c r="O9" s="37">
        <f>((Coal!O5+Coal!O6+Coal!O10)/10^6)*UFactor</f>
        <v>3.5162484091918533</v>
      </c>
      <c r="P9" s="37">
        <f>((Coal!P5+Coal!P6+Coal!P10)/10^6)*UFactor</f>
        <v>2.9562908457696908</v>
      </c>
      <c r="Q9" s="37">
        <f>((Coal!Q5+Coal!Q6+Coal!Q10)/10^6)*UFactor</f>
        <v>3.5165107329022613</v>
      </c>
      <c r="R9" s="37">
        <f>((Coal!R5+Coal!R6+Coal!R10)/10^6)*UFactor</f>
        <v>3.8915886057312741</v>
      </c>
      <c r="S9" s="37">
        <f>((Coal!S5+Coal!S6+Coal!S10)/10^6)*UFactor</f>
        <v>4.0620802276130012</v>
      </c>
      <c r="T9" s="37">
        <f>((Coal!T5+Coal!T6+Coal!T10)/10^6)*UFactor</f>
        <v>2.7839899371823229</v>
      </c>
      <c r="U9" s="37">
        <f>((Coal!U5+Coal!U6+Coal!U10)/10^6)*UFactor</f>
        <v>4.4933615707200287</v>
      </c>
      <c r="V9" s="37">
        <f>((Coal!V5+Coal!V6+Coal!V10)/10^6)*UFactor</f>
        <v>4.2955934175885684</v>
      </c>
      <c r="W9" s="37">
        <f>((Coal!W5+Coal!W6+Coal!W10)/10^6)*UFactor</f>
        <v>5.017884120230975</v>
      </c>
      <c r="X9" s="37">
        <f>((Coal!X5+Coal!X6+Coal!X10)/10^6)*UFactor</f>
        <v>4.5112036313636557</v>
      </c>
      <c r="Y9" s="37">
        <f>((Coal!Y5+Coal!Y6+Coal!Y10)/10^6)*UFactor</f>
        <v>5.6457604155838652</v>
      </c>
      <c r="Z9" s="37">
        <f>((Coal!Z5+Coal!Z6+Coal!Z10)/10^6)*UFactor</f>
        <v>5.2154325366169889</v>
      </c>
      <c r="AA9" s="37">
        <f>((Coal!AA5+Coal!AA6+Coal!AA10)/10^6)*UFactor</f>
        <v>5.4038968800856111</v>
      </c>
      <c r="AB9" s="37">
        <f>((Coal!AB5+Coal!AB6+Coal!AB10)/10^6)*UFactor</f>
        <v>6.1006752360734762</v>
      </c>
      <c r="AC9" s="37">
        <f>((Coal!AC5+Coal!AC6+Coal!AC10)/10^6)*UFactor</f>
        <v>6.3486134896853033</v>
      </c>
      <c r="AD9" s="37">
        <f>((Coal!AD5+Coal!AD6+Coal!AD10)/10^6)*UFactor</f>
        <v>4.9745623326882029</v>
      </c>
      <c r="AE9" s="37">
        <f>((Coal!AE5+Coal!AE6+Coal!AE10)/10^6)*UFactor</f>
        <v>3.8931467135535032</v>
      </c>
      <c r="AF9" s="37">
        <f>((Coal!AF5+Coal!AF6+Coal!AF10)/10^6)*UFactor</f>
        <v>3.4149984667047941</v>
      </c>
      <c r="AG9" s="37">
        <f>((Coal!AG5+Coal!AG6+Coal!AG10)/10^6)*UFactor</f>
        <v>2.5632706870975728</v>
      </c>
      <c r="AH9" s="37">
        <f>((Coal!AH5+Coal!AH6+Coal!AH10)/10^6)*UFactor</f>
        <v>0.34073498465039781</v>
      </c>
      <c r="AI9" s="37">
        <f>((Coal!AI5+Coal!AI6+Coal!AI10)/10^6)*UFactor</f>
        <v>0.3342652406828584</v>
      </c>
      <c r="AJ9" s="37">
        <f>((Coal!AJ5+Coal!AJ6+Coal!AJ10)/10^6)*UFactor</f>
        <v>0.32827812681537971</v>
      </c>
      <c r="AK9" s="37">
        <f>((Coal!AK5+Coal!AK6+Coal!AK10)/10^6)*UFactor</f>
        <v>0.32270198347361084</v>
      </c>
      <c r="AL9" s="37">
        <f>((Coal!AL5+Coal!AL6+Coal!AL10)/10^6)*UFactor</f>
        <v>0.31748190045141383</v>
      </c>
    </row>
    <row r="10" spans="1:38">
      <c r="A10" s="122"/>
      <c r="B10" s="23" t="s">
        <v>9</v>
      </c>
      <c r="C10" s="37">
        <f>('Gas and Oil'!C8)*UFactor</f>
        <v>0.39899376005184967</v>
      </c>
      <c r="D10" s="37">
        <f>('Gas and Oil'!D8)*UFactor</f>
        <v>0.3819970340933615</v>
      </c>
      <c r="E10" s="37">
        <f>('Gas and Oil'!E8)*UFactor</f>
        <v>0.39175792894839451</v>
      </c>
      <c r="F10" s="37">
        <f>('Gas and Oil'!F8)*UFactor</f>
        <v>0.3692305128285937</v>
      </c>
      <c r="G10" s="37">
        <f>('Gas and Oil'!G8)*UFactor</f>
        <v>0.37212240976302946</v>
      </c>
      <c r="H10" s="37">
        <f>('Gas and Oil'!H8)*UFactor</f>
        <v>0.3551631885927603</v>
      </c>
      <c r="I10" s="37">
        <f>('Gas and Oil'!I8)*UFactor</f>
        <v>0.35045796104608912</v>
      </c>
      <c r="J10" s="37">
        <f>('Gas and Oil'!J8)*UFactor</f>
        <v>0.35569466177544917</v>
      </c>
      <c r="K10" s="37">
        <f>('Gas and Oil'!K8)*UFactor</f>
        <v>0.29145658127290247</v>
      </c>
      <c r="L10" s="37">
        <f>('Gas and Oil'!L8)*UFactor</f>
        <v>0.28090821672969968</v>
      </c>
      <c r="M10" s="37">
        <f>('Gas and Oil'!M8)*UFactor</f>
        <v>0.28052271501153603</v>
      </c>
      <c r="N10" s="37">
        <f>('Gas and Oil'!N8)*UFactor</f>
        <v>0.23829249341067765</v>
      </c>
      <c r="O10" s="37">
        <f>('Gas and Oil'!O8)*UFactor</f>
        <v>0.25104193418526227</v>
      </c>
      <c r="P10" s="37">
        <f>('Gas and Oil'!P8)*UFactor</f>
        <v>0.26997762748372706</v>
      </c>
      <c r="Q10" s="37">
        <f>('Gas and Oil'!Q8)*UFactor</f>
        <v>0.26336009438614749</v>
      </c>
      <c r="R10" s="37">
        <f>('Gas and Oil'!R8)*UFactor</f>
        <v>0.24895434402878291</v>
      </c>
      <c r="S10" s="37">
        <f>('Gas and Oil'!S8)*UFactor</f>
        <v>0.26794343815843596</v>
      </c>
      <c r="T10" s="37">
        <f>('Gas and Oil'!T8)*UFactor</f>
        <v>0.21922452073685261</v>
      </c>
      <c r="U10" s="37">
        <f>('Gas and Oil'!U8)*UFactor</f>
        <v>0.21745618501587691</v>
      </c>
      <c r="V10" s="37">
        <f>('Gas and Oil'!V8)*UFactor</f>
        <v>0.19172472488357309</v>
      </c>
      <c r="W10" s="37">
        <f>('Gas and Oil'!W8)*UFactor</f>
        <v>4.0246750898860917</v>
      </c>
      <c r="X10" s="37">
        <f>('Gas and Oil'!X8)*UFactor</f>
        <v>4.025256043012452</v>
      </c>
      <c r="Y10" s="37">
        <f>('Gas and Oil'!Y8)*UFactor</f>
        <v>3.9870156998712174</v>
      </c>
      <c r="Z10" s="37">
        <f>('Gas and Oil'!Z8)*UFactor</f>
        <v>3.9745510157782333</v>
      </c>
      <c r="AA10" s="37">
        <f>('Gas and Oil'!AA8)*UFactor</f>
        <v>3.9666084781963558</v>
      </c>
      <c r="AB10" s="37">
        <f>('Gas and Oil'!AB8)*UFactor</f>
        <v>3.9256958769467443</v>
      </c>
      <c r="AC10" s="37">
        <f>('Gas and Oil'!AC8)*UFactor</f>
        <v>3.9043292322308569</v>
      </c>
      <c r="AD10" s="37">
        <f>('Gas and Oil'!AD8)*UFactor</f>
        <v>3.9077879964245814</v>
      </c>
      <c r="AE10" s="37">
        <f>('Gas and Oil'!AE8)*UFactor</f>
        <v>3.8706345923295151</v>
      </c>
      <c r="AF10" s="37">
        <f>('Gas and Oil'!AF8)*UFactor</f>
        <v>3.898865871852609</v>
      </c>
      <c r="AG10" s="37">
        <f>('Gas and Oil'!AG8)*UFactor</f>
        <v>3.8961344544001206</v>
      </c>
      <c r="AH10" s="37">
        <f>('Gas and Oil'!AH8)*UFactor</f>
        <v>3.8152114226839777</v>
      </c>
      <c r="AI10" s="37">
        <f>('Gas and Oil'!AI8)*UFactor</f>
        <v>3.8164075844402912</v>
      </c>
      <c r="AJ10" s="37">
        <f>('Gas and Oil'!AJ8)*UFactor</f>
        <v>0</v>
      </c>
      <c r="AK10" s="37">
        <f>('Gas and Oil'!AK8)*UFactor</f>
        <v>0</v>
      </c>
      <c r="AL10" s="37">
        <f>('Gas and Oil'!AL8)*UFactor</f>
        <v>0</v>
      </c>
    </row>
    <row r="11" spans="1:38">
      <c r="A11" s="122"/>
      <c r="B11" s="33" t="s">
        <v>10</v>
      </c>
      <c r="C11" s="203">
        <f>(IP!C26/10^6)*UFactor</f>
        <v>3.4378826880760673</v>
      </c>
      <c r="D11" s="203">
        <f>(IP!D26/10^6)*UFactor</f>
        <v>3.3228640023124774</v>
      </c>
      <c r="E11" s="203">
        <f>(IP!E26/10^6)*UFactor</f>
        <v>3.4126665501592122</v>
      </c>
      <c r="F11" s="203">
        <f>(IP!F26/10^6)*UFactor</f>
        <v>3.7276985517237011</v>
      </c>
      <c r="G11" s="203">
        <f>(IP!G26/10^6)*UFactor</f>
        <v>4.4550339594991781</v>
      </c>
      <c r="H11" s="203">
        <f>(IP!H26/10^6)*UFactor</f>
        <v>5.4460273624210238</v>
      </c>
      <c r="I11" s="203">
        <f>(IP!I26/10^6)*UFactor</f>
        <v>6.0181588733852651</v>
      </c>
      <c r="J11" s="203">
        <f>(IP!J26/10^6)*UFactor</f>
        <v>13.023129349511551</v>
      </c>
      <c r="K11" s="203">
        <f>(IP!K26/10^6)*UFactor</f>
        <v>12.829807289921444</v>
      </c>
      <c r="L11" s="203">
        <f>(IP!L26/10^6)*UFactor</f>
        <v>12.923063009003876</v>
      </c>
      <c r="M11" s="203">
        <f>(IP!M26/10^6)*UFactor</f>
        <v>12.536240162970003</v>
      </c>
      <c r="N11" s="203">
        <f>(IP!N26/10^6)*UFactor</f>
        <v>11.768138050707131</v>
      </c>
      <c r="O11" s="203">
        <f>(IP!O26/10^6)*UFactor</f>
        <v>12.918359015483581</v>
      </c>
      <c r="P11" s="203">
        <f>(IP!P26/10^6)*UFactor</f>
        <v>13.33832597739692</v>
      </c>
      <c r="Q11" s="203">
        <f>(IP!Q26/10^6)*UFactor</f>
        <v>11.687663625507314</v>
      </c>
      <c r="R11" s="203">
        <f>(IP!R26/10^6)*UFactor</f>
        <v>11.770598108247617</v>
      </c>
      <c r="S11" s="203">
        <f>(IP!S26/10^6)*UFactor</f>
        <v>12.019476723206125</v>
      </c>
      <c r="T11" s="203">
        <f>(IP!T26/10^6)*UFactor</f>
        <v>11.980206190756896</v>
      </c>
      <c r="U11" s="203">
        <f>(IP!U26/10^6)*UFactor</f>
        <v>11.786345512870355</v>
      </c>
      <c r="V11" s="203">
        <f>(IP!V26/10^6)*UFactor</f>
        <v>8.3649041887104829</v>
      </c>
      <c r="W11" s="203">
        <f>(IP!W26/10^6)*UFactor</f>
        <v>11.312175380706611</v>
      </c>
      <c r="X11" s="203">
        <f>(IP!X26/10^6)*UFactor</f>
        <v>11.044625811438689</v>
      </c>
      <c r="Y11" s="203">
        <f>(IP!Y26/10^6)*UFactor</f>
        <v>11.176235888356777</v>
      </c>
      <c r="Z11" s="203">
        <f>(IP!Z26/10^6)*UFactor</f>
        <v>10.714791824820002</v>
      </c>
      <c r="AA11" s="203">
        <f>(IP!AA26/10^6)*UFactor</f>
        <v>10.605322656821288</v>
      </c>
      <c r="AB11" s="203">
        <f>(IP!AB26/10^6)*UFactor</f>
        <v>10.788155834808727</v>
      </c>
      <c r="AC11" s="203">
        <f>(IP!AC26/10^6)*UFactor</f>
        <v>10.681409969671726</v>
      </c>
      <c r="AD11" s="203">
        <f>(IP!AD26/10^6)*UFactor</f>
        <v>10.296939983227887</v>
      </c>
      <c r="AE11" s="203">
        <f>(IP!AE26/10^6)*UFactor</f>
        <v>10.00512096340467</v>
      </c>
      <c r="AF11" s="203">
        <f>(IP!AF26/10^6)*UFactor</f>
        <v>10.382622105645101</v>
      </c>
      <c r="AG11" s="203">
        <f>(IP!AG26/10^6)*UFactor</f>
        <v>10.477042021958107</v>
      </c>
      <c r="AH11" s="203">
        <f>(IP!AH26/10^6)*UFactor</f>
        <v>0</v>
      </c>
      <c r="AI11" s="203">
        <f>(IP!AI26/10^6)*UFactor</f>
        <v>0</v>
      </c>
      <c r="AJ11" s="203">
        <f>(IP!AJ26/10^6)*UFactor</f>
        <v>0</v>
      </c>
      <c r="AK11" s="203">
        <f>(IP!AK26/10^6)*UFactor</f>
        <v>0</v>
      </c>
      <c r="AL11" s="203">
        <f>(IP!AL26/10^6)*UFactor</f>
        <v>0</v>
      </c>
    </row>
    <row r="12" spans="1:38">
      <c r="A12" s="122"/>
      <c r="B12" s="138" t="s">
        <v>219</v>
      </c>
      <c r="C12" s="204">
        <f>Agriculture!C16*UFactor</f>
        <v>29.416809213452723</v>
      </c>
      <c r="D12" s="204">
        <f>Agriculture!D16*UFactor</f>
        <v>28.237728409590716</v>
      </c>
      <c r="E12" s="204">
        <f>Agriculture!E16*UFactor</f>
        <v>28.786542562537203</v>
      </c>
      <c r="F12" s="204">
        <f>Agriculture!F16*UFactor</f>
        <v>30.283642667819173</v>
      </c>
      <c r="G12" s="204">
        <f>Agriculture!G16*UFactor</f>
        <v>29.262614794469876</v>
      </c>
      <c r="H12" s="204">
        <f>Agriculture!H16*UFactor</f>
        <v>28.076241904172644</v>
      </c>
      <c r="I12" s="204">
        <f>Agriculture!I16*UFactor</f>
        <v>28.634002865524138</v>
      </c>
      <c r="J12" s="204">
        <f>Agriculture!J16*UFactor</f>
        <v>27.146421848593778</v>
      </c>
      <c r="K12" s="204">
        <f>Agriculture!K16*UFactor</f>
        <v>28.14809137171758</v>
      </c>
      <c r="L12" s="204">
        <f>Agriculture!L16*UFactor</f>
        <v>27.397913914993055</v>
      </c>
      <c r="M12" s="204">
        <f>Agriculture!M16*UFactor</f>
        <v>26.790015322366258</v>
      </c>
      <c r="N12" s="204">
        <f>Agriculture!N16*UFactor</f>
        <v>27.862463616256324</v>
      </c>
      <c r="O12" s="204">
        <f>Agriculture!O16*UFactor</f>
        <v>26.923984137539335</v>
      </c>
      <c r="P12" s="204">
        <f>Agriculture!P16*UFactor</f>
        <v>25.979380823862837</v>
      </c>
      <c r="Q12" s="204">
        <f>Agriculture!Q16*UFactor</f>
        <v>28.006760002998526</v>
      </c>
      <c r="R12" s="204">
        <f>Agriculture!R16*UFactor</f>
        <v>26.226559128619609</v>
      </c>
      <c r="S12" s="204">
        <f>Agriculture!S16*UFactor</f>
        <v>27.157474856214279</v>
      </c>
      <c r="T12" s="204">
        <f>Agriculture!T16*UFactor</f>
        <v>26.758367734198114</v>
      </c>
      <c r="U12" s="204">
        <f>Agriculture!U16*UFactor</f>
        <v>27.150200074506525</v>
      </c>
      <c r="V12" s="204">
        <f>Agriculture!V16*UFactor</f>
        <v>25.129761764082993</v>
      </c>
      <c r="W12" s="204">
        <f>Agriculture!W16*UFactor</f>
        <v>26.019939495240106</v>
      </c>
      <c r="X12" s="204">
        <f>Agriculture!X16*UFactor</f>
        <v>26.640465801121668</v>
      </c>
      <c r="Y12" s="204">
        <f>Agriculture!Y16*UFactor</f>
        <v>25.108536026594468</v>
      </c>
      <c r="Z12" s="204">
        <f>Agriculture!Z16*UFactor</f>
        <v>28.479238465058877</v>
      </c>
      <c r="AA12" s="204">
        <f>Agriculture!AA16*UFactor</f>
        <v>29.874678545694778</v>
      </c>
      <c r="AB12" s="204">
        <f>Agriculture!AB16*UFactor</f>
        <v>28.774472690713715</v>
      </c>
      <c r="AC12" s="204">
        <f>Agriculture!AC16*UFactor</f>
        <v>28.138592779752408</v>
      </c>
      <c r="AD12" s="204">
        <f>Agriculture!AD16*UFactor</f>
        <v>29.316328290270047</v>
      </c>
      <c r="AE12" s="204">
        <f>Agriculture!AE16*UFactor</f>
        <v>31.482602448167196</v>
      </c>
      <c r="AF12" s="204">
        <f>Agriculture!AF16*UFactor</f>
        <v>28.581602292350041</v>
      </c>
      <c r="AG12" s="204">
        <f>Agriculture!AG16*UFactor</f>
        <v>27.761590295302181</v>
      </c>
      <c r="AH12" s="204">
        <f>Agriculture!AH16*UFactor</f>
        <v>27.120146492352621</v>
      </c>
      <c r="AI12" s="204">
        <f>Agriculture!AI16*UFactor</f>
        <v>0</v>
      </c>
      <c r="AJ12" s="204">
        <f>Agriculture!AJ16*UFactor</f>
        <v>0</v>
      </c>
      <c r="AK12" s="204">
        <f>Agriculture!AK16*UFactor</f>
        <v>0</v>
      </c>
      <c r="AL12" s="204">
        <f>Agriculture!AL16*UFactor</f>
        <v>0</v>
      </c>
    </row>
    <row r="13" spans="1:38">
      <c r="A13" s="125"/>
      <c r="B13" s="137" t="s">
        <v>220</v>
      </c>
      <c r="C13" s="205">
        <f>'Forest Management'!C54*UFactor</f>
        <v>-13.699117039838162</v>
      </c>
      <c r="D13" s="205">
        <f>'Forest Management'!D54*UFactor</f>
        <v>-15.143622097032821</v>
      </c>
      <c r="E13" s="205">
        <f>'Forest Management'!E54*UFactor</f>
        <v>-12.998539483371866</v>
      </c>
      <c r="F13" s="205">
        <f>'Forest Management'!F54*UFactor</f>
        <v>-10.003001981195077</v>
      </c>
      <c r="G13" s="205">
        <f>'Forest Management'!G54*UFactor</f>
        <v>-14.108443863895452</v>
      </c>
      <c r="H13" s="205">
        <f>'Forest Management'!H54*UFactor</f>
        <v>-11.189449506787284</v>
      </c>
      <c r="I13" s="205">
        <f>'Forest Management'!I54*UFactor</f>
        <v>-14.121763882988624</v>
      </c>
      <c r="J13" s="205">
        <f>'Forest Management'!J54*UFactor</f>
        <v>-12.851547809002589</v>
      </c>
      <c r="K13" s="205">
        <f>'Forest Management'!K54*UFactor</f>
        <v>-10.977013021338911</v>
      </c>
      <c r="L13" s="205">
        <f>'Forest Management'!L54*UFactor</f>
        <v>-13.627449358955047</v>
      </c>
      <c r="M13" s="205">
        <f>'Forest Management'!M54*UFactor</f>
        <v>-14.542014639906871</v>
      </c>
      <c r="N13" s="205">
        <f>'Forest Management'!N54*UFactor</f>
        <v>-17.123133564840487</v>
      </c>
      <c r="O13" s="205">
        <f>'Forest Management'!O54*UFactor</f>
        <v>-16.714732031666955</v>
      </c>
      <c r="P13" s="205">
        <f>'Forest Management'!P54*UFactor</f>
        <v>-14.945681781098145</v>
      </c>
      <c r="Q13" s="205">
        <f>'Forest Management'!Q54*UFactor</f>
        <v>-16.081108898903086</v>
      </c>
      <c r="R13" s="205">
        <f>'Forest Management'!R54*UFactor</f>
        <v>-18.102028594036948</v>
      </c>
      <c r="S13" s="205">
        <f>'Forest Management'!S54*UFactor</f>
        <v>-13.784427067292595</v>
      </c>
      <c r="T13" s="205">
        <f>'Forest Management'!T54*UFactor</f>
        <v>-16.684624314779775</v>
      </c>
      <c r="U13" s="205">
        <f>'Forest Management'!U54*UFactor</f>
        <v>-14.703710682033565</v>
      </c>
      <c r="V13" s="205">
        <f>'Forest Management'!V54*UFactor</f>
        <v>-13.98303799660413</v>
      </c>
      <c r="W13" s="205">
        <f>'Forest Management'!W54*UFactor</f>
        <v>-14.188509507168526</v>
      </c>
      <c r="X13" s="205">
        <f>'Forest Management'!X54*UFactor</f>
        <v>-18.648874860235161</v>
      </c>
      <c r="Y13" s="205">
        <f>'Forest Management'!Y54*UFactor</f>
        <v>-16.827854258156158</v>
      </c>
      <c r="Z13" s="205">
        <f>'Forest Management'!Z54*UFactor</f>
        <v>-11.857699923865441</v>
      </c>
      <c r="AA13" s="205">
        <f>'Forest Management'!AA54*UFactor</f>
        <v>-14.768276349585218</v>
      </c>
      <c r="AB13" s="205">
        <f>'Forest Management'!AB54*UFactor</f>
        <v>-15.672493954454531</v>
      </c>
      <c r="AC13" s="205">
        <f>'Forest Management'!AC54*UFactor</f>
        <v>-15.422641452552661</v>
      </c>
      <c r="AD13" s="205">
        <f>'Forest Management'!AD54*UFactor</f>
        <v>-15.381851212415267</v>
      </c>
      <c r="AE13" s="205">
        <f>'Forest Management'!AE54*UFactor</f>
        <v>-14.616326212037889</v>
      </c>
      <c r="AF13" s="205">
        <f>'Forest Management'!AF54*UFactor</f>
        <v>-14.264479138366697</v>
      </c>
      <c r="AG13" s="205">
        <f>'Forest Management'!AG54*UFactor</f>
        <v>-15.509148179505491</v>
      </c>
      <c r="AH13" s="205">
        <f>'Forest Management'!AH54*UFactor</f>
        <v>0</v>
      </c>
      <c r="AI13" s="205">
        <f>'Forest Management'!AI54*UFactor</f>
        <v>0</v>
      </c>
      <c r="AJ13" s="205">
        <f>'Forest Management'!AJ54*UFactor</f>
        <v>0</v>
      </c>
      <c r="AK13" s="205">
        <f>'Forest Management'!AK54*UFactor</f>
        <v>0</v>
      </c>
      <c r="AL13" s="205">
        <f>'Forest Management'!AL54*UFactor</f>
        <v>0</v>
      </c>
    </row>
    <row r="14" spans="1:38">
      <c r="A14" s="125"/>
      <c r="B14" s="139" t="s">
        <v>221</v>
      </c>
      <c r="C14" s="206">
        <f>SUM(C15:C16)</f>
        <v>11.428414909824196</v>
      </c>
      <c r="D14" s="206">
        <f t="shared" ref="D14:F14" si="5">SUM(D15:D16)</f>
        <v>11.653767859299396</v>
      </c>
      <c r="E14" s="206">
        <f t="shared" si="5"/>
        <v>12.014423878787824</v>
      </c>
      <c r="F14" s="206">
        <f t="shared" si="5"/>
        <v>12.327041580865448</v>
      </c>
      <c r="G14" s="206">
        <f t="shared" ref="G14:L14" si="6">SUM(G15:G16)</f>
        <v>12.556522132753431</v>
      </c>
      <c r="H14" s="206">
        <f t="shared" si="6"/>
        <v>12.79804129911949</v>
      </c>
      <c r="I14" s="206">
        <f t="shared" si="6"/>
        <v>12.937213407412152</v>
      </c>
      <c r="J14" s="206">
        <f t="shared" si="6"/>
        <v>12.636534051943846</v>
      </c>
      <c r="K14" s="206">
        <f t="shared" si="6"/>
        <v>11.617726299031597</v>
      </c>
      <c r="L14" s="206">
        <f t="shared" si="6"/>
        <v>11.363324631247114</v>
      </c>
      <c r="M14" s="206">
        <f t="shared" ref="M14:R14" si="7">SUM(M15:M16)</f>
        <v>10.344826125895096</v>
      </c>
      <c r="N14" s="206">
        <f t="shared" si="7"/>
        <v>4.5257550462419136</v>
      </c>
      <c r="O14" s="206">
        <f t="shared" si="7"/>
        <v>6.7693468549285161</v>
      </c>
      <c r="P14" s="206">
        <f t="shared" si="7"/>
        <v>9.1617847671573909</v>
      </c>
      <c r="Q14" s="206">
        <f t="shared" si="7"/>
        <v>9.5538175351679016</v>
      </c>
      <c r="R14" s="206">
        <f t="shared" si="7"/>
        <v>10.833296160220907</v>
      </c>
      <c r="S14" s="206">
        <f t="shared" ref="S14:AF14" si="8">SUM(S15:S16)</f>
        <v>12.138303000582704</v>
      </c>
      <c r="T14" s="206">
        <f t="shared" si="8"/>
        <v>13.090121964963771</v>
      </c>
      <c r="U14" s="206">
        <f t="shared" si="8"/>
        <v>13.094067473354469</v>
      </c>
      <c r="V14" s="206">
        <f t="shared" si="8"/>
        <v>12.23160925066194</v>
      </c>
      <c r="W14" s="206">
        <f t="shared" si="8"/>
        <v>11.909697588327788</v>
      </c>
      <c r="X14" s="206">
        <f t="shared" si="8"/>
        <v>11.567126120455873</v>
      </c>
      <c r="Y14" s="206">
        <f t="shared" si="8"/>
        <v>9.9933215641726711</v>
      </c>
      <c r="Z14" s="206">
        <f t="shared" si="8"/>
        <v>9.1730482960454651</v>
      </c>
      <c r="AA14" s="206">
        <f t="shared" si="8"/>
        <v>9.1787417669589679</v>
      </c>
      <c r="AB14" s="206">
        <f t="shared" si="8"/>
        <v>9.0886867024912679</v>
      </c>
      <c r="AC14" s="206">
        <f t="shared" si="8"/>
        <v>9.3041473145943581</v>
      </c>
      <c r="AD14" s="206">
        <f t="shared" si="8"/>
        <v>9.9383402758194173</v>
      </c>
      <c r="AE14" s="206">
        <f t="shared" si="8"/>
        <v>9.4492543118880867</v>
      </c>
      <c r="AF14" s="206">
        <f t="shared" si="8"/>
        <v>7.9781327693566766</v>
      </c>
      <c r="AG14" s="206">
        <f>SUM(AG15:AG16)</f>
        <v>6.9339516412511202</v>
      </c>
      <c r="AH14" s="206">
        <f t="shared" ref="AH14:AL14" si="9">SUM(AH15:AH16)</f>
        <v>0</v>
      </c>
      <c r="AI14" s="206">
        <f t="shared" si="9"/>
        <v>0</v>
      </c>
      <c r="AJ14" s="206">
        <f t="shared" si="9"/>
        <v>0</v>
      </c>
      <c r="AK14" s="206">
        <f t="shared" si="9"/>
        <v>0</v>
      </c>
      <c r="AL14" s="206">
        <f t="shared" si="9"/>
        <v>0</v>
      </c>
    </row>
    <row r="15" spans="1:38">
      <c r="A15" s="122"/>
      <c r="B15" s="23" t="s">
        <v>13</v>
      </c>
      <c r="C15" s="37">
        <f>Waste!C11*UFactor</f>
        <v>10.239206101562777</v>
      </c>
      <c r="D15" s="37">
        <f>Waste!D11*UFactor</f>
        <v>10.454589835499791</v>
      </c>
      <c r="E15" s="37">
        <f>Waste!E11*UFactor</f>
        <v>10.799894288310171</v>
      </c>
      <c r="F15" s="37">
        <f>Waste!F11*UFactor</f>
        <v>11.10574517266442</v>
      </c>
      <c r="G15" s="37">
        <f>Waste!G11*UFactor</f>
        <v>11.309314024613894</v>
      </c>
      <c r="H15" s="37">
        <f>Waste!H11*UFactor</f>
        <v>11.542941597360128</v>
      </c>
      <c r="I15" s="37">
        <f>Waste!I11*UFactor</f>
        <v>11.676488773168824</v>
      </c>
      <c r="J15" s="37">
        <f>Waste!J11*UFactor</f>
        <v>11.371495676686024</v>
      </c>
      <c r="K15" s="37">
        <f>Waste!K11*UFactor</f>
        <v>10.335700167377995</v>
      </c>
      <c r="L15" s="37">
        <f>Waste!L11*UFactor</f>
        <v>10.066346477819097</v>
      </c>
      <c r="M15" s="37">
        <f>Waste!M11*UFactor</f>
        <v>9.0379514871242161</v>
      </c>
      <c r="N15" s="37">
        <f>Waste!N11*UFactor</f>
        <v>3.2199938382052831</v>
      </c>
      <c r="O15" s="37">
        <f>Waste!O11*UFactor</f>
        <v>5.4580927198451636</v>
      </c>
      <c r="P15" s="37">
        <f>Waste!P11*UFactor</f>
        <v>7.8493182708030371</v>
      </c>
      <c r="Q15" s="37">
        <f>Waste!Q11*UFactor</f>
        <v>8.2301993740487731</v>
      </c>
      <c r="R15" s="37">
        <f>Waste!R11*UFactor</f>
        <v>9.5121015767096342</v>
      </c>
      <c r="S15" s="37">
        <f>Waste!S11*UFactor</f>
        <v>10.809006236431602</v>
      </c>
      <c r="T15" s="37">
        <f>Waste!T11*UFactor</f>
        <v>11.754240735724323</v>
      </c>
      <c r="U15" s="37">
        <f>Waste!U11*UFactor</f>
        <v>11.752923681697323</v>
      </c>
      <c r="V15" s="37">
        <f>Waste!V11*UFactor</f>
        <v>10.895241129798389</v>
      </c>
      <c r="W15" s="37">
        <f>Waste!W11*UFactor</f>
        <v>10.572857574066449</v>
      </c>
      <c r="X15" s="37">
        <f>Waste!X11*UFactor</f>
        <v>10.233065441373251</v>
      </c>
      <c r="Y15" s="37">
        <f>Waste!Y11*UFactor</f>
        <v>8.6471991314852943</v>
      </c>
      <c r="Z15" s="37">
        <f>Waste!Z11*UFactor</f>
        <v>7.8235794135058496</v>
      </c>
      <c r="AA15" s="37">
        <f>Waste!AA11*UFactor</f>
        <v>7.8266013548536053</v>
      </c>
      <c r="AB15" s="37">
        <f>Waste!AB11*UFactor</f>
        <v>7.7268475586059999</v>
      </c>
      <c r="AC15" s="37">
        <f>Waste!AC11*UFactor</f>
        <v>7.9418372686387126</v>
      </c>
      <c r="AD15" s="37">
        <f>Waste!AD11*UFactor</f>
        <v>8.5783824107441013</v>
      </c>
      <c r="AE15" s="37">
        <f>Waste!AE11*UFactor</f>
        <v>8.0924761488891281</v>
      </c>
      <c r="AF15" s="37">
        <f>Waste!AF11*UFactor</f>
        <v>6.6280013006348639</v>
      </c>
      <c r="AG15" s="37">
        <f>Waste!AG11*UFactor</f>
        <v>5.5900148134842613</v>
      </c>
      <c r="AH15" s="37">
        <f>Waste!AH11*UFactor</f>
        <v>0</v>
      </c>
      <c r="AI15" s="37">
        <f>Waste!AI11*UFactor</f>
        <v>0</v>
      </c>
      <c r="AJ15" s="37">
        <f>Waste!AJ11*UFactor</f>
        <v>0</v>
      </c>
      <c r="AK15" s="37">
        <f>Waste!AK11*UFactor</f>
        <v>0</v>
      </c>
      <c r="AL15" s="37">
        <f>Waste!AL11*UFactor</f>
        <v>0</v>
      </c>
    </row>
    <row r="16" spans="1:38">
      <c r="A16" s="122"/>
      <c r="B16" s="23" t="s">
        <v>14</v>
      </c>
      <c r="C16" s="37">
        <f>Wastewater!C14*UFactor</f>
        <v>1.1892088082614196</v>
      </c>
      <c r="D16" s="37">
        <f>Wastewater!D14*UFactor</f>
        <v>1.1991780237996057</v>
      </c>
      <c r="E16" s="37">
        <f>Wastewater!E14*UFactor</f>
        <v>1.2145295904776534</v>
      </c>
      <c r="F16" s="37">
        <f>Wastewater!F14*UFactor</f>
        <v>1.2212964082010282</v>
      </c>
      <c r="G16" s="37">
        <f>Wastewater!G14*UFactor</f>
        <v>1.2472081081395376</v>
      </c>
      <c r="H16" s="37">
        <f>Wastewater!H14*UFactor</f>
        <v>1.2550997017593613</v>
      </c>
      <c r="I16" s="37">
        <f>Wastewater!I14*UFactor</f>
        <v>1.2607246342433271</v>
      </c>
      <c r="J16" s="37">
        <f>Wastewater!J14*UFactor</f>
        <v>1.2650383752578216</v>
      </c>
      <c r="K16" s="37">
        <f>Wastewater!K14*UFactor</f>
        <v>1.2820261316536021</v>
      </c>
      <c r="L16" s="37">
        <f>Wastewater!L14*UFactor</f>
        <v>1.2969781534280165</v>
      </c>
      <c r="M16" s="37">
        <f>Wastewater!M14*UFactor</f>
        <v>1.3068746387708796</v>
      </c>
      <c r="N16" s="37">
        <f>Wastewater!N14*UFactor</f>
        <v>1.3057612080366301</v>
      </c>
      <c r="O16" s="37">
        <f>Wastewater!O14*UFactor</f>
        <v>1.3112541350833529</v>
      </c>
      <c r="P16" s="37">
        <f>Wastewater!P14*UFactor</f>
        <v>1.3124664963543538</v>
      </c>
      <c r="Q16" s="37">
        <f>Wastewater!Q14*UFactor</f>
        <v>1.3236181611191291</v>
      </c>
      <c r="R16" s="37">
        <f>Wastewater!R14*UFactor</f>
        <v>1.3211945835112733</v>
      </c>
      <c r="S16" s="37">
        <f>Wastewater!S14*UFactor</f>
        <v>1.329296764151102</v>
      </c>
      <c r="T16" s="37">
        <f>Wastewater!T14*UFactor</f>
        <v>1.3358812292394482</v>
      </c>
      <c r="U16" s="37">
        <f>Wastewater!U14*UFactor</f>
        <v>1.3411437916571465</v>
      </c>
      <c r="V16" s="37">
        <f>Wastewater!V14*UFactor</f>
        <v>1.3363681208635496</v>
      </c>
      <c r="W16" s="37">
        <f>Wastewater!W14*UFactor</f>
        <v>1.3368400142613384</v>
      </c>
      <c r="X16" s="37">
        <f>Wastewater!X14*UFactor</f>
        <v>1.3340606790826228</v>
      </c>
      <c r="Y16" s="37">
        <f>Wastewater!Y14*UFactor</f>
        <v>1.3461224326873762</v>
      </c>
      <c r="Z16" s="37">
        <f>Wastewater!Z14*UFactor</f>
        <v>1.3494688825396151</v>
      </c>
      <c r="AA16" s="37">
        <f>Wastewater!AA14*UFactor</f>
        <v>1.3521404121053631</v>
      </c>
      <c r="AB16" s="37">
        <f>Wastewater!AB14*UFactor</f>
        <v>1.3618391438852679</v>
      </c>
      <c r="AC16" s="37">
        <f>Wastewater!AC14*UFactor</f>
        <v>1.3623100459556454</v>
      </c>
      <c r="AD16" s="37">
        <f>Wastewater!AD14*UFactor</f>
        <v>1.359957865075315</v>
      </c>
      <c r="AE16" s="37">
        <f>Wastewater!AE14*UFactor</f>
        <v>1.3567781629989579</v>
      </c>
      <c r="AF16" s="37">
        <f>Wastewater!AF14*UFactor</f>
        <v>1.3501314687218127</v>
      </c>
      <c r="AG16" s="37">
        <f>Wastewater!AG14*UFactor</f>
        <v>1.3439368277668589</v>
      </c>
      <c r="AH16" s="37">
        <f>Wastewater!AH14*UFactor</f>
        <v>0</v>
      </c>
      <c r="AI16" s="37">
        <f>Wastewater!AI14*UFactor</f>
        <v>0</v>
      </c>
      <c r="AJ16" s="37">
        <f>Wastewater!AJ14*UFactor</f>
        <v>0</v>
      </c>
      <c r="AK16" s="37">
        <f>Wastewater!AK14*UFactor</f>
        <v>0</v>
      </c>
      <c r="AL16" s="37">
        <f>Wastewater!AL14*UFactor</f>
        <v>0</v>
      </c>
    </row>
    <row r="17" spans="1:38" ht="16" thickBot="1">
      <c r="A17" s="122"/>
      <c r="B17" s="231" t="s">
        <v>222</v>
      </c>
      <c r="C17" s="232">
        <f>IndirectCO2!C48</f>
        <v>60.902596300306897</v>
      </c>
      <c r="D17" s="232">
        <f>IndirectCO2!D48</f>
        <v>63.790950322376901</v>
      </c>
      <c r="E17" s="232">
        <f>IndirectCO2!E48</f>
        <v>61.417716762841685</v>
      </c>
      <c r="F17" s="232">
        <f>IndirectCO2!F48</f>
        <v>64.291832983307458</v>
      </c>
      <c r="G17" s="232">
        <f>IndirectCO2!G48</f>
        <v>66.31360081110698</v>
      </c>
      <c r="H17" s="232">
        <f>IndirectCO2!H48</f>
        <v>68.901521221797978</v>
      </c>
      <c r="I17" s="232">
        <f>IndirectCO2!I48</f>
        <v>68.770021526082573</v>
      </c>
      <c r="J17" s="232">
        <f>IndirectCO2!J48</f>
        <v>69.295700358346323</v>
      </c>
      <c r="K17" s="232">
        <f>IndirectCO2!K48</f>
        <v>71.885060546727644</v>
      </c>
      <c r="L17" s="232">
        <f>IndirectCO2!L48</f>
        <v>72.42241757581283</v>
      </c>
      <c r="M17" s="232">
        <f>IndirectCO2!M48</f>
        <v>73.522567706512092</v>
      </c>
      <c r="N17" s="232">
        <f>IndirectCO2!N48</f>
        <v>74.251895094305894</v>
      </c>
      <c r="O17" s="232">
        <f>IndirectCO2!O48</f>
        <v>75.569451656242663</v>
      </c>
      <c r="P17" s="232">
        <f>IndirectCO2!P48</f>
        <v>74.368997013118147</v>
      </c>
      <c r="Q17" s="232">
        <f>IndirectCO2!Q48</f>
        <v>76.009703678881081</v>
      </c>
      <c r="R17" s="232">
        <f>IndirectCO2!R48</f>
        <v>79.138660550532492</v>
      </c>
      <c r="S17" s="232">
        <f>IndirectCO2!S48</f>
        <v>77.307695556747333</v>
      </c>
      <c r="T17" s="232">
        <f>IndirectCO2!T48</f>
        <v>78.808222337983679</v>
      </c>
      <c r="U17" s="232">
        <f>IndirectCO2!U48</f>
        <v>76.399314799645552</v>
      </c>
      <c r="V17" s="232">
        <f>IndirectCO2!V48</f>
        <v>70.674823259471509</v>
      </c>
      <c r="W17" s="232">
        <f>IndirectCO2!W48</f>
        <v>75.182559283978208</v>
      </c>
      <c r="X17" s="232">
        <f>IndirectCO2!X48</f>
        <v>72.893302011525634</v>
      </c>
      <c r="Y17" s="232">
        <f>IndirectCO2!Y48</f>
        <v>71.857203625427644</v>
      </c>
      <c r="Z17" s="232">
        <f>IndirectCO2!Z48</f>
        <v>69.188749741502335</v>
      </c>
      <c r="AA17" s="232">
        <f>IndirectCO2!AA48</f>
        <v>67.342511842352579</v>
      </c>
      <c r="AB17" s="232">
        <f>IndirectCO2!AB48</f>
        <v>59.82277811581362</v>
      </c>
      <c r="AC17" s="232">
        <f>IndirectCO2!AC48</f>
        <v>54.665557347640132</v>
      </c>
      <c r="AD17" s="232">
        <f>IndirectCO2!AD48</f>
        <v>53.068671373267385</v>
      </c>
      <c r="AE17" s="232">
        <f>IndirectCO2!AE48</f>
        <v>55.301145700909089</v>
      </c>
      <c r="AF17" s="232">
        <f>IndirectCO2!AF48</f>
        <v>47.985279658380655</v>
      </c>
      <c r="AG17" s="232">
        <f>IndirectCO2!AG48</f>
        <v>35.308113619134737</v>
      </c>
      <c r="AH17" s="232">
        <f>IndirectCO2!AH48</f>
        <v>0</v>
      </c>
      <c r="AI17" s="232">
        <f>IndirectCO2!AI48</f>
        <v>0</v>
      </c>
      <c r="AJ17" s="232">
        <f>IndirectCO2!AJ48</f>
        <v>0</v>
      </c>
      <c r="AK17" s="232">
        <f>IndirectCO2!AK48</f>
        <v>0</v>
      </c>
      <c r="AL17" s="232">
        <f>IndirectCO2!AL48</f>
        <v>0</v>
      </c>
    </row>
    <row r="18" spans="1:38" ht="16" thickBot="1">
      <c r="A18" s="122"/>
      <c r="B18" s="140" t="s">
        <v>223</v>
      </c>
      <c r="C18" s="141">
        <f t="shared" ref="C18:AF18" si="10">IF(C13&gt;0,C5+C11+C12+C13+C14,C5+C11+C12+C14)</f>
        <v>244.93484245476179</v>
      </c>
      <c r="D18" s="141">
        <f t="shared" si="10"/>
        <v>243.50276486766504</v>
      </c>
      <c r="E18" s="141">
        <f t="shared" si="10"/>
        <v>241.4332920927387</v>
      </c>
      <c r="F18" s="141">
        <f t="shared" si="10"/>
        <v>257.74266959587379</v>
      </c>
      <c r="G18" s="141">
        <f t="shared" si="10"/>
        <v>260.21621746905998</v>
      </c>
      <c r="H18" s="141">
        <f t="shared" si="10"/>
        <v>264.18743424551599</v>
      </c>
      <c r="I18" s="141">
        <f t="shared" si="10"/>
        <v>279.48594869316639</v>
      </c>
      <c r="J18" s="141">
        <f t="shared" si="10"/>
        <v>286.6668028032712</v>
      </c>
      <c r="K18" s="141">
        <f t="shared" si="10"/>
        <v>277.58267113524823</v>
      </c>
      <c r="L18" s="141">
        <f t="shared" si="10"/>
        <v>287.4105181426624</v>
      </c>
      <c r="M18" s="141">
        <f t="shared" si="10"/>
        <v>292.38639469799784</v>
      </c>
      <c r="N18" s="141">
        <f t="shared" si="10"/>
        <v>278.8932594193958</v>
      </c>
      <c r="O18" s="141">
        <f t="shared" si="10"/>
        <v>284.66869163719275</v>
      </c>
      <c r="P18" s="141">
        <f t="shared" si="10"/>
        <v>289.70977308705983</v>
      </c>
      <c r="Q18" s="141">
        <f t="shared" si="10"/>
        <v>296.6793958940259</v>
      </c>
      <c r="R18" s="141">
        <f t="shared" si="10"/>
        <v>301.71903600808429</v>
      </c>
      <c r="S18" s="141">
        <f t="shared" si="10"/>
        <v>296.60122391063322</v>
      </c>
      <c r="T18" s="141">
        <f t="shared" si="10"/>
        <v>302.10214703756691</v>
      </c>
      <c r="U18" s="141">
        <f t="shared" si="10"/>
        <v>303.29983865519785</v>
      </c>
      <c r="V18" s="141">
        <f t="shared" si="10"/>
        <v>281.45831793263937</v>
      </c>
      <c r="W18" s="141">
        <f t="shared" si="10"/>
        <v>293.84130762050091</v>
      </c>
      <c r="X18" s="141">
        <f t="shared" si="10"/>
        <v>290.15732461853077</v>
      </c>
      <c r="Y18" s="141">
        <f t="shared" si="10"/>
        <v>274.65970197306223</v>
      </c>
      <c r="Z18" s="141">
        <f t="shared" si="10"/>
        <v>290.56016649862971</v>
      </c>
      <c r="AA18" s="141">
        <f t="shared" si="10"/>
        <v>294.93032348716889</v>
      </c>
      <c r="AB18" s="141">
        <f t="shared" si="10"/>
        <v>278.24443556221075</v>
      </c>
      <c r="AC18" s="141">
        <f t="shared" si="10"/>
        <v>265.90795619989598</v>
      </c>
      <c r="AD18" s="141">
        <f t="shared" si="10"/>
        <v>263.8776070091817</v>
      </c>
      <c r="AE18" s="141">
        <f t="shared" si="10"/>
        <v>271.09587579752491</v>
      </c>
      <c r="AF18" s="141">
        <f t="shared" si="10"/>
        <v>257.4093787097122</v>
      </c>
      <c r="AG18" s="141">
        <f>IF(AG13&gt;0,AG5+AG11+AG12+AG13+AG14,AG5+AG11+AG12+AG14)</f>
        <v>222.96729328346396</v>
      </c>
      <c r="AH18" s="141">
        <f t="shared" ref="AH18:AL18" si="11">IF(AH13&gt;0,AH5+AH11+AH12+AH13+AH14,AH5+AH11+AH12+AH14)</f>
        <v>31.276092899686997</v>
      </c>
      <c r="AI18" s="141">
        <f t="shared" si="11"/>
        <v>4.1506728251231495</v>
      </c>
      <c r="AJ18" s="141">
        <f t="shared" si="11"/>
        <v>0.32827812681537971</v>
      </c>
      <c r="AK18" s="141">
        <f t="shared" si="11"/>
        <v>0.32270198347361084</v>
      </c>
      <c r="AL18" s="141">
        <f t="shared" si="11"/>
        <v>0.31748190045141383</v>
      </c>
    </row>
    <row r="19" spans="1:38" ht="16" thickBot="1">
      <c r="A19" s="122"/>
      <c r="B19" s="140" t="s">
        <v>224</v>
      </c>
      <c r="C19" s="141">
        <f>IF(C13&lt;0,C13,0)</f>
        <v>-13.699117039838162</v>
      </c>
      <c r="D19" s="141">
        <f>IF(D13&lt;0,D13,0)</f>
        <v>-15.143622097032821</v>
      </c>
      <c r="E19" s="141">
        <f t="shared" ref="E19:L19" si="12">IF(E13&lt;0,E13,0)</f>
        <v>-12.998539483371866</v>
      </c>
      <c r="F19" s="141">
        <f t="shared" si="12"/>
        <v>-10.003001981195077</v>
      </c>
      <c r="G19" s="141">
        <f t="shared" si="12"/>
        <v>-14.108443863895452</v>
      </c>
      <c r="H19" s="141">
        <f t="shared" si="12"/>
        <v>-11.189449506787284</v>
      </c>
      <c r="I19" s="141">
        <f t="shared" si="12"/>
        <v>-14.121763882988624</v>
      </c>
      <c r="J19" s="141">
        <f t="shared" si="12"/>
        <v>-12.851547809002589</v>
      </c>
      <c r="K19" s="141">
        <f t="shared" si="12"/>
        <v>-10.977013021338911</v>
      </c>
      <c r="L19" s="141">
        <f t="shared" si="12"/>
        <v>-13.627449358955047</v>
      </c>
      <c r="M19" s="141">
        <f t="shared" ref="M19:R19" si="13">IF(M13&lt;0,M13,0)</f>
        <v>-14.542014639906871</v>
      </c>
      <c r="N19" s="141">
        <f t="shared" si="13"/>
        <v>-17.123133564840487</v>
      </c>
      <c r="O19" s="141">
        <f t="shared" si="13"/>
        <v>-16.714732031666955</v>
      </c>
      <c r="P19" s="141">
        <f t="shared" si="13"/>
        <v>-14.945681781098145</v>
      </c>
      <c r="Q19" s="141">
        <f t="shared" si="13"/>
        <v>-16.081108898903086</v>
      </c>
      <c r="R19" s="141">
        <f t="shared" si="13"/>
        <v>-18.102028594036948</v>
      </c>
      <c r="S19" s="141">
        <f t="shared" ref="S19:AF19" si="14">IF(S13&lt;0,S13,0)</f>
        <v>-13.784427067292595</v>
      </c>
      <c r="T19" s="141">
        <f t="shared" si="14"/>
        <v>-16.684624314779775</v>
      </c>
      <c r="U19" s="141">
        <f t="shared" si="14"/>
        <v>-14.703710682033565</v>
      </c>
      <c r="V19" s="141">
        <f t="shared" si="14"/>
        <v>-13.98303799660413</v>
      </c>
      <c r="W19" s="141">
        <f t="shared" si="14"/>
        <v>-14.188509507168526</v>
      </c>
      <c r="X19" s="141">
        <f t="shared" si="14"/>
        <v>-18.648874860235161</v>
      </c>
      <c r="Y19" s="141">
        <f t="shared" si="14"/>
        <v>-16.827854258156158</v>
      </c>
      <c r="Z19" s="141">
        <f t="shared" si="14"/>
        <v>-11.857699923865441</v>
      </c>
      <c r="AA19" s="141">
        <f t="shared" si="14"/>
        <v>-14.768276349585218</v>
      </c>
      <c r="AB19" s="141">
        <f t="shared" si="14"/>
        <v>-15.672493954454531</v>
      </c>
      <c r="AC19" s="141">
        <f t="shared" si="14"/>
        <v>-15.422641452552661</v>
      </c>
      <c r="AD19" s="141">
        <f t="shared" si="14"/>
        <v>-15.381851212415267</v>
      </c>
      <c r="AE19" s="141">
        <f t="shared" si="14"/>
        <v>-14.616326212037889</v>
      </c>
      <c r="AF19" s="141">
        <f t="shared" si="14"/>
        <v>-14.264479138366697</v>
      </c>
      <c r="AG19" s="141">
        <f>IF(AG13&lt;0,AG13,0)</f>
        <v>-15.509148179505491</v>
      </c>
      <c r="AH19" s="141">
        <f t="shared" ref="AH19:AL19" si="15">IF(AH13&lt;0,AH13,0)</f>
        <v>0</v>
      </c>
      <c r="AI19" s="141">
        <f t="shared" si="15"/>
        <v>0</v>
      </c>
      <c r="AJ19" s="141">
        <f t="shared" si="15"/>
        <v>0</v>
      </c>
      <c r="AK19" s="141">
        <f t="shared" si="15"/>
        <v>0</v>
      </c>
      <c r="AL19" s="141">
        <f t="shared" si="15"/>
        <v>0</v>
      </c>
    </row>
    <row r="20" spans="1:38" ht="16" thickBot="1">
      <c r="A20" s="122"/>
      <c r="B20" s="140" t="s">
        <v>225</v>
      </c>
      <c r="C20" s="141">
        <f>C18+C19</f>
        <v>231.23572541492362</v>
      </c>
      <c r="D20" s="141">
        <f>D18+D19</f>
        <v>228.35914277063222</v>
      </c>
      <c r="E20" s="141">
        <f t="shared" ref="E20:L20" si="16">E18+E19</f>
        <v>228.43475260936683</v>
      </c>
      <c r="F20" s="141">
        <f t="shared" si="16"/>
        <v>247.73966761467872</v>
      </c>
      <c r="G20" s="141">
        <f t="shared" si="16"/>
        <v>246.10777360516454</v>
      </c>
      <c r="H20" s="141">
        <f t="shared" si="16"/>
        <v>252.99798473872869</v>
      </c>
      <c r="I20" s="141">
        <f t="shared" si="16"/>
        <v>265.36418481017779</v>
      </c>
      <c r="J20" s="141">
        <f t="shared" si="16"/>
        <v>273.81525499426863</v>
      </c>
      <c r="K20" s="141">
        <f t="shared" si="16"/>
        <v>266.60565811390933</v>
      </c>
      <c r="L20" s="141">
        <f t="shared" si="16"/>
        <v>273.78306878370734</v>
      </c>
      <c r="M20" s="141">
        <f t="shared" ref="M20:R20" si="17">M18+M19</f>
        <v>277.84438005809096</v>
      </c>
      <c r="N20" s="141">
        <f t="shared" si="17"/>
        <v>261.77012585455532</v>
      </c>
      <c r="O20" s="141">
        <f t="shared" si="17"/>
        <v>267.95395960552582</v>
      </c>
      <c r="P20" s="141">
        <f t="shared" si="17"/>
        <v>274.7640913059617</v>
      </c>
      <c r="Q20" s="141">
        <f t="shared" si="17"/>
        <v>280.59828699512281</v>
      </c>
      <c r="R20" s="141">
        <f t="shared" si="17"/>
        <v>283.61700741404735</v>
      </c>
      <c r="S20" s="141">
        <f t="shared" ref="S20:AF20" si="18">S18+S19</f>
        <v>282.81679684334063</v>
      </c>
      <c r="T20" s="141">
        <f t="shared" si="18"/>
        <v>285.41752272278711</v>
      </c>
      <c r="U20" s="141">
        <f t="shared" si="18"/>
        <v>288.5961279731643</v>
      </c>
      <c r="V20" s="141">
        <f t="shared" si="18"/>
        <v>267.47527993603524</v>
      </c>
      <c r="W20" s="141">
        <f t="shared" si="18"/>
        <v>279.65279811333238</v>
      </c>
      <c r="X20" s="141">
        <f t="shared" si="18"/>
        <v>271.50844975829563</v>
      </c>
      <c r="Y20" s="141">
        <f t="shared" si="18"/>
        <v>257.83184771490608</v>
      </c>
      <c r="Z20" s="141">
        <f t="shared" si="18"/>
        <v>278.70246657476429</v>
      </c>
      <c r="AA20" s="141">
        <f t="shared" si="18"/>
        <v>280.16204713758367</v>
      </c>
      <c r="AB20" s="141">
        <f t="shared" si="18"/>
        <v>262.57194160775623</v>
      </c>
      <c r="AC20" s="141">
        <f t="shared" si="18"/>
        <v>250.48531474734332</v>
      </c>
      <c r="AD20" s="141">
        <f t="shared" si="18"/>
        <v>248.49575579676645</v>
      </c>
      <c r="AE20" s="141">
        <f t="shared" si="18"/>
        <v>256.47954958548701</v>
      </c>
      <c r="AF20" s="141">
        <f t="shared" si="18"/>
        <v>243.14489957134549</v>
      </c>
      <c r="AG20" s="141">
        <f>AG18+AG19</f>
        <v>207.45814510395846</v>
      </c>
      <c r="AH20" s="141">
        <f t="shared" ref="AH20:AL20" si="19">AH18+AH19</f>
        <v>31.276092899686997</v>
      </c>
      <c r="AI20" s="141">
        <f t="shared" si="19"/>
        <v>4.1506728251231495</v>
      </c>
      <c r="AJ20" s="141">
        <f t="shared" si="19"/>
        <v>0.32827812681537971</v>
      </c>
      <c r="AK20" s="141">
        <f t="shared" si="19"/>
        <v>0.32270198347361084</v>
      </c>
      <c r="AL20" s="141">
        <f t="shared" si="19"/>
        <v>0.31748190045141383</v>
      </c>
    </row>
    <row r="21" spans="1:38">
      <c r="A21" s="122"/>
      <c r="B21" s="18" t="s">
        <v>226</v>
      </c>
      <c r="C21" s="146"/>
      <c r="D21" s="146"/>
      <c r="E21" s="146"/>
      <c r="F21" s="146"/>
      <c r="G21" s="146"/>
      <c r="H21" s="146"/>
      <c r="I21" s="146"/>
      <c r="J21" s="146"/>
      <c r="K21" s="146"/>
      <c r="L21" s="146"/>
      <c r="M21" s="146"/>
    </row>
    <row r="22" spans="1:38" hidden="1">
      <c r="A22" s="122"/>
      <c r="B22" s="18"/>
      <c r="C22" s="18">
        <v>1</v>
      </c>
      <c r="D22" s="121">
        <f>IF(D4&lt;=$B23,C22+1,0)</f>
        <v>2</v>
      </c>
      <c r="E22" s="121">
        <f t="shared" ref="E22:AL22" si="20">IF(E4&lt;=$B23,D22+1,0)</f>
        <v>3</v>
      </c>
      <c r="F22" s="121">
        <f t="shared" si="20"/>
        <v>4</v>
      </c>
      <c r="G22" s="121">
        <f t="shared" si="20"/>
        <v>5</v>
      </c>
      <c r="H22" s="121">
        <f t="shared" si="20"/>
        <v>6</v>
      </c>
      <c r="I22" s="121">
        <f t="shared" si="20"/>
        <v>7</v>
      </c>
      <c r="J22" s="121">
        <f t="shared" si="20"/>
        <v>8</v>
      </c>
      <c r="K22" s="121">
        <f t="shared" si="20"/>
        <v>9</v>
      </c>
      <c r="L22" s="121">
        <f t="shared" si="20"/>
        <v>10</v>
      </c>
      <c r="M22" s="121">
        <f t="shared" si="20"/>
        <v>11</v>
      </c>
      <c r="N22" s="121">
        <f t="shared" si="20"/>
        <v>12</v>
      </c>
      <c r="O22" s="121">
        <f t="shared" si="20"/>
        <v>13</v>
      </c>
      <c r="P22" s="121">
        <f t="shared" si="20"/>
        <v>14</v>
      </c>
      <c r="Q22" s="121">
        <f t="shared" si="20"/>
        <v>15</v>
      </c>
      <c r="R22" s="121">
        <f t="shared" si="20"/>
        <v>16</v>
      </c>
      <c r="S22" s="121">
        <f t="shared" si="20"/>
        <v>17</v>
      </c>
      <c r="T22" s="121">
        <f t="shared" si="20"/>
        <v>18</v>
      </c>
      <c r="U22" s="121">
        <f t="shared" si="20"/>
        <v>19</v>
      </c>
      <c r="V22" s="121">
        <f t="shared" si="20"/>
        <v>20</v>
      </c>
      <c r="W22" s="121">
        <f t="shared" si="20"/>
        <v>21</v>
      </c>
      <c r="X22" s="121">
        <f t="shared" si="20"/>
        <v>22</v>
      </c>
      <c r="Y22" s="121">
        <f t="shared" si="20"/>
        <v>23</v>
      </c>
      <c r="Z22" s="121">
        <f t="shared" si="20"/>
        <v>24</v>
      </c>
      <c r="AA22" s="121">
        <f t="shared" si="20"/>
        <v>25</v>
      </c>
      <c r="AB22" s="121">
        <f t="shared" si="20"/>
        <v>26</v>
      </c>
      <c r="AC22" s="121">
        <f t="shared" si="20"/>
        <v>27</v>
      </c>
      <c r="AD22" s="121">
        <f t="shared" si="20"/>
        <v>28</v>
      </c>
      <c r="AE22" s="121">
        <f t="shared" si="20"/>
        <v>29</v>
      </c>
      <c r="AF22" s="121">
        <f t="shared" si="20"/>
        <v>30</v>
      </c>
      <c r="AG22" s="121">
        <f t="shared" si="20"/>
        <v>31</v>
      </c>
      <c r="AH22" s="121">
        <f t="shared" si="20"/>
        <v>32</v>
      </c>
      <c r="AI22" s="121">
        <f t="shared" si="20"/>
        <v>33</v>
      </c>
      <c r="AJ22" s="121">
        <f t="shared" si="20"/>
        <v>34</v>
      </c>
      <c r="AK22" s="121">
        <f t="shared" si="20"/>
        <v>35</v>
      </c>
      <c r="AL22" s="121">
        <f t="shared" si="20"/>
        <v>36</v>
      </c>
    </row>
    <row r="23" spans="1:38" hidden="1">
      <c r="A23" s="122"/>
      <c r="B23" s="18">
        <f>MAX(C23:AL23)</f>
        <v>2025</v>
      </c>
      <c r="C23" s="18">
        <v>1990</v>
      </c>
      <c r="D23" s="18">
        <f t="shared" ref="D23:AL23" si="21">IF(D18=0,0,D4)</f>
        <v>1991</v>
      </c>
      <c r="E23" s="18">
        <f t="shared" si="21"/>
        <v>1992</v>
      </c>
      <c r="F23" s="18">
        <f t="shared" si="21"/>
        <v>1993</v>
      </c>
      <c r="G23" s="18">
        <f t="shared" si="21"/>
        <v>1994</v>
      </c>
      <c r="H23" s="18">
        <f t="shared" si="21"/>
        <v>1995</v>
      </c>
      <c r="I23" s="18">
        <f t="shared" si="21"/>
        <v>1996</v>
      </c>
      <c r="J23" s="18">
        <f t="shared" si="21"/>
        <v>1997</v>
      </c>
      <c r="K23" s="18">
        <f t="shared" si="21"/>
        <v>1998</v>
      </c>
      <c r="L23" s="18">
        <f t="shared" si="21"/>
        <v>1999</v>
      </c>
      <c r="M23" s="18">
        <f t="shared" si="21"/>
        <v>2000</v>
      </c>
      <c r="N23" s="18">
        <f t="shared" si="21"/>
        <v>2001</v>
      </c>
      <c r="O23" s="18">
        <f t="shared" si="21"/>
        <v>2002</v>
      </c>
      <c r="P23" s="18">
        <f t="shared" si="21"/>
        <v>2003</v>
      </c>
      <c r="Q23" s="18">
        <f t="shared" si="21"/>
        <v>2004</v>
      </c>
      <c r="R23" s="18">
        <f t="shared" si="21"/>
        <v>2005</v>
      </c>
      <c r="S23" s="18">
        <f t="shared" si="21"/>
        <v>2006</v>
      </c>
      <c r="T23" s="18">
        <f t="shared" si="21"/>
        <v>2007</v>
      </c>
      <c r="U23" s="18">
        <f t="shared" si="21"/>
        <v>2008</v>
      </c>
      <c r="V23" s="18">
        <f t="shared" si="21"/>
        <v>2009</v>
      </c>
      <c r="W23" s="18">
        <f t="shared" si="21"/>
        <v>2010</v>
      </c>
      <c r="X23" s="18">
        <f t="shared" si="21"/>
        <v>2011</v>
      </c>
      <c r="Y23" s="18">
        <f t="shared" si="21"/>
        <v>2012</v>
      </c>
      <c r="Z23" s="18">
        <f t="shared" si="21"/>
        <v>2013</v>
      </c>
      <c r="AA23" s="18">
        <f t="shared" si="21"/>
        <v>2014</v>
      </c>
      <c r="AB23" s="18">
        <f t="shared" si="21"/>
        <v>2015</v>
      </c>
      <c r="AC23" s="18">
        <f t="shared" si="21"/>
        <v>2016</v>
      </c>
      <c r="AD23" s="18">
        <f t="shared" si="21"/>
        <v>2017</v>
      </c>
      <c r="AE23" s="18">
        <f t="shared" si="21"/>
        <v>2018</v>
      </c>
      <c r="AF23" s="18">
        <f t="shared" si="21"/>
        <v>2019</v>
      </c>
      <c r="AG23" s="18">
        <f t="shared" si="21"/>
        <v>2020</v>
      </c>
      <c r="AH23" s="18">
        <f t="shared" si="21"/>
        <v>2021</v>
      </c>
      <c r="AI23" s="18">
        <f t="shared" si="21"/>
        <v>2022</v>
      </c>
      <c r="AJ23" s="18">
        <f t="shared" si="21"/>
        <v>2023</v>
      </c>
      <c r="AK23" s="18">
        <f t="shared" si="21"/>
        <v>2024</v>
      </c>
      <c r="AL23" s="18">
        <f t="shared" si="21"/>
        <v>2025</v>
      </c>
    </row>
    <row r="24" spans="1:38">
      <c r="A24" s="122"/>
      <c r="B24" s="145"/>
      <c r="C24" s="146"/>
      <c r="D24" s="146"/>
      <c r="E24" s="146"/>
      <c r="F24" s="146"/>
      <c r="G24" s="146"/>
      <c r="H24" s="159" t="s">
        <v>227</v>
      </c>
      <c r="I24" s="146"/>
      <c r="J24" s="146"/>
      <c r="K24" s="146"/>
      <c r="L24" s="146"/>
      <c r="M24" s="146"/>
      <c r="X24" s="282"/>
    </row>
    <row r="25" spans="1:38" ht="16" thickBot="1">
      <c r="A25" s="122"/>
      <c r="C25" s="124"/>
      <c r="D25" s="124"/>
      <c r="E25" s="124"/>
      <c r="F25" s="124"/>
      <c r="G25" s="124"/>
      <c r="H25" s="124"/>
      <c r="I25" s="124"/>
      <c r="J25" s="124"/>
      <c r="K25" s="124"/>
      <c r="L25" s="124"/>
      <c r="M25" s="124"/>
      <c r="O25" s="147"/>
      <c r="P25" s="147"/>
      <c r="Q25" s="147"/>
      <c r="R25" s="147"/>
      <c r="S25" s="147"/>
      <c r="T25" s="147"/>
      <c r="U25" s="147"/>
      <c r="V25" s="147"/>
      <c r="W25" s="147"/>
      <c r="X25" s="147"/>
      <c r="Y25" s="147"/>
    </row>
    <row r="26" spans="1:38" ht="16" thickBot="1">
      <c r="A26" s="122"/>
      <c r="C26" s="124"/>
      <c r="D26" s="124"/>
      <c r="E26" s="124"/>
      <c r="F26" s="124"/>
      <c r="G26" s="124"/>
      <c r="I26" s="289" t="s">
        <v>228</v>
      </c>
      <c r="J26" s="158">
        <v>2020</v>
      </c>
      <c r="K26" s="124"/>
      <c r="L26" s="124"/>
      <c r="M26" s="124"/>
      <c r="O26" s="147"/>
      <c r="P26" s="147"/>
      <c r="Q26" s="147"/>
      <c r="R26" s="147"/>
      <c r="S26" s="147"/>
      <c r="T26" s="147"/>
      <c r="U26" s="147"/>
      <c r="V26" s="147"/>
      <c r="W26" s="147"/>
      <c r="X26" s="147"/>
      <c r="Y26" s="147"/>
    </row>
    <row r="27" spans="1:38">
      <c r="A27" s="122"/>
      <c r="C27" s="124"/>
      <c r="D27" s="124"/>
      <c r="E27" s="124"/>
      <c r="F27" s="124"/>
      <c r="G27" s="124"/>
      <c r="H27" s="124"/>
      <c r="I27" s="124"/>
      <c r="J27" s="124"/>
      <c r="K27" s="124"/>
      <c r="L27" s="124"/>
      <c r="M27" s="124"/>
      <c r="O27" s="147"/>
      <c r="P27" s="147"/>
      <c r="Q27" s="147"/>
      <c r="R27" s="147"/>
      <c r="S27" s="147"/>
      <c r="T27" s="147"/>
      <c r="U27" s="147"/>
      <c r="V27" s="147"/>
      <c r="W27" s="147"/>
      <c r="Y27" s="147"/>
    </row>
    <row r="28" spans="1:38">
      <c r="A28" s="125"/>
      <c r="C28" s="124"/>
      <c r="D28" s="124"/>
      <c r="E28" s="124"/>
      <c r="F28" s="124"/>
      <c r="G28" s="124"/>
      <c r="H28" s="124"/>
      <c r="I28" s="124"/>
      <c r="J28" s="124"/>
      <c r="K28" s="124"/>
      <c r="L28" s="124"/>
      <c r="M28" s="124"/>
    </row>
    <row r="29" spans="1:38">
      <c r="A29" s="125"/>
      <c r="C29" s="124"/>
      <c r="D29" s="124"/>
      <c r="E29" s="124"/>
      <c r="F29" s="124"/>
      <c r="G29" s="124"/>
      <c r="H29" s="124"/>
      <c r="I29" s="124"/>
      <c r="J29" s="124"/>
      <c r="K29" s="124"/>
      <c r="L29" s="124"/>
      <c r="M29" s="124"/>
    </row>
    <row r="30" spans="1:38">
      <c r="A30" s="125"/>
      <c r="C30" s="124"/>
      <c r="D30" s="124"/>
      <c r="E30" s="124"/>
      <c r="F30" s="124"/>
      <c r="G30" s="124"/>
      <c r="H30" s="124"/>
      <c r="I30" s="124"/>
      <c r="J30" s="124"/>
      <c r="K30" s="124"/>
      <c r="L30" s="124"/>
      <c r="M30" s="124"/>
    </row>
    <row r="31" spans="1:38">
      <c r="A31" s="122"/>
      <c r="C31" s="124"/>
      <c r="D31" s="124"/>
      <c r="E31" s="124"/>
      <c r="F31" s="124"/>
      <c r="G31" s="124"/>
      <c r="H31" s="124"/>
      <c r="I31" s="124"/>
      <c r="J31" s="124"/>
      <c r="K31" s="124"/>
      <c r="L31" s="124"/>
      <c r="M31" s="124"/>
    </row>
    <row r="32" spans="1:38">
      <c r="A32" s="122"/>
      <c r="C32" s="124"/>
      <c r="D32" s="124"/>
      <c r="E32" s="124"/>
      <c r="F32" s="124"/>
      <c r="G32" s="124"/>
      <c r="H32" s="124"/>
      <c r="I32" s="124"/>
      <c r="J32" s="124"/>
      <c r="K32" s="124"/>
      <c r="L32" s="124"/>
      <c r="M32" s="124"/>
    </row>
    <row r="34" spans="1:23">
      <c r="A34" s="122"/>
      <c r="C34" s="124"/>
      <c r="D34" s="124"/>
      <c r="E34" s="124"/>
      <c r="F34" s="124"/>
      <c r="G34" s="124"/>
      <c r="H34" s="124"/>
      <c r="I34" s="124"/>
      <c r="J34" s="124"/>
      <c r="K34" s="124"/>
      <c r="L34" s="124"/>
      <c r="M34" s="124"/>
    </row>
    <row r="35" spans="1:23">
      <c r="A35" s="122"/>
      <c r="B35" s="122"/>
      <c r="C35" s="122"/>
      <c r="D35" s="124"/>
      <c r="E35" s="124"/>
      <c r="F35" s="124"/>
      <c r="G35" s="124"/>
      <c r="H35" s="124"/>
      <c r="I35" s="124"/>
      <c r="J35" s="124"/>
      <c r="K35" s="124"/>
      <c r="L35" s="124"/>
      <c r="M35" s="124"/>
      <c r="N35" s="124"/>
    </row>
    <row r="42" spans="1:23">
      <c r="R42" s="283"/>
      <c r="S42" s="283"/>
    </row>
    <row r="43" spans="1:23">
      <c r="A43" s="122"/>
      <c r="C43" s="122"/>
      <c r="D43" s="124"/>
      <c r="E43" s="124"/>
      <c r="F43" s="124"/>
      <c r="G43" s="126"/>
      <c r="H43" s="124"/>
      <c r="I43" s="124"/>
      <c r="J43" s="124"/>
      <c r="K43" s="124"/>
      <c r="L43" s="124"/>
      <c r="M43" s="124"/>
      <c r="N43" s="124"/>
      <c r="Q43" s="290"/>
      <c r="R43" s="283"/>
      <c r="S43" s="283"/>
      <c r="T43" s="290"/>
      <c r="U43" s="290"/>
      <c r="V43" s="290"/>
      <c r="W43" s="290"/>
    </row>
    <row r="44" spans="1:23">
      <c r="Q44" s="290"/>
      <c r="R44" s="283"/>
      <c r="S44" s="283"/>
      <c r="T44" s="290"/>
      <c r="U44" s="290"/>
      <c r="V44" s="290"/>
      <c r="W44" s="290"/>
    </row>
    <row r="45" spans="1:23">
      <c r="Q45" s="290"/>
      <c r="R45" s="283"/>
      <c r="S45" s="283"/>
      <c r="T45" s="290"/>
      <c r="U45" s="290"/>
      <c r="V45" s="290"/>
      <c r="W45" s="290"/>
    </row>
    <row r="46" spans="1:23">
      <c r="Q46" s="290"/>
      <c r="R46" s="296" t="str">
        <f>"GHG Emissions by Sector, 1990-"&amp;B23</f>
        <v>GHG Emissions by Sector, 1990-2025</v>
      </c>
      <c r="S46" s="283"/>
      <c r="T46" s="290"/>
      <c r="U46" s="290"/>
      <c r="V46" s="290"/>
      <c r="W46" s="290"/>
    </row>
    <row r="47" spans="1:23">
      <c r="Q47" s="290"/>
      <c r="R47" s="296" t="str">
        <f>"GHG Emissions by Sector (excluding Fossil Fuel Combustion), 1990-"&amp;B23</f>
        <v>GHG Emissions by Sector (excluding Fossil Fuel Combustion), 1990-2025</v>
      </c>
      <c r="S47" s="283"/>
      <c r="T47" s="290"/>
      <c r="U47" s="290"/>
      <c r="V47" s="290"/>
      <c r="W47" s="290"/>
    </row>
    <row r="48" spans="1:23">
      <c r="Q48" s="290"/>
      <c r="R48" s="296"/>
      <c r="S48" s="283"/>
      <c r="T48" s="290"/>
      <c r="U48" s="290"/>
      <c r="V48" s="290"/>
      <c r="W48" s="290"/>
    </row>
    <row r="49" spans="1:23">
      <c r="A49" s="122"/>
      <c r="C49" s="122"/>
      <c r="D49" s="122"/>
      <c r="E49" s="122"/>
      <c r="F49" s="122"/>
      <c r="G49" s="122"/>
      <c r="H49" s="122"/>
      <c r="I49" s="122"/>
      <c r="J49" s="122"/>
      <c r="K49" s="122"/>
      <c r="L49" s="122"/>
      <c r="M49" s="122"/>
      <c r="N49" s="122"/>
      <c r="Q49" s="290"/>
      <c r="R49" s="283"/>
      <c r="S49" s="283"/>
      <c r="T49" s="290"/>
      <c r="U49" s="290"/>
      <c r="V49" s="290"/>
      <c r="W49" s="290"/>
    </row>
    <row r="50" spans="1:23">
      <c r="A50" s="122"/>
      <c r="C50" s="122"/>
      <c r="D50" s="122"/>
      <c r="E50" s="122"/>
      <c r="F50" s="122"/>
      <c r="G50" s="122"/>
      <c r="H50" s="122"/>
      <c r="I50" s="122"/>
      <c r="J50" s="122"/>
      <c r="K50" s="122"/>
      <c r="L50" s="122"/>
      <c r="M50" s="122"/>
      <c r="N50" s="122"/>
      <c r="Q50" s="290"/>
      <c r="R50" s="283"/>
      <c r="S50" s="283"/>
      <c r="T50" s="290"/>
      <c r="U50" s="290"/>
      <c r="V50" s="290"/>
      <c r="W50" s="290"/>
    </row>
    <row r="51" spans="1:23">
      <c r="A51" s="122"/>
      <c r="C51" s="122"/>
      <c r="D51" s="122"/>
      <c r="E51" s="122"/>
      <c r="F51" s="122"/>
      <c r="G51" s="122"/>
      <c r="H51" s="122"/>
      <c r="I51" s="122"/>
      <c r="J51" s="122"/>
      <c r="K51" s="122"/>
      <c r="L51" s="122"/>
      <c r="M51" s="122"/>
      <c r="N51" s="122"/>
      <c r="Q51" s="290"/>
      <c r="R51" s="283"/>
      <c r="S51" s="283"/>
      <c r="T51" s="290"/>
      <c r="U51" s="290"/>
      <c r="V51" s="290"/>
      <c r="W51" s="290"/>
    </row>
    <row r="52" spans="1:23">
      <c r="Q52" s="290"/>
      <c r="R52" s="283"/>
      <c r="S52" s="283"/>
      <c r="T52" s="290"/>
      <c r="U52" s="290"/>
      <c r="V52" s="290"/>
      <c r="W52" s="290"/>
    </row>
    <row r="53" spans="1:23">
      <c r="Q53" s="290"/>
      <c r="R53" s="290"/>
      <c r="S53" s="290"/>
      <c r="T53" s="290"/>
      <c r="U53" s="290"/>
      <c r="V53" s="290"/>
      <c r="W53" s="290"/>
    </row>
    <row r="54" spans="1:23">
      <c r="Q54" s="290"/>
      <c r="R54" s="290"/>
      <c r="S54" s="290"/>
      <c r="T54" s="290"/>
      <c r="U54" s="290"/>
      <c r="V54" s="290"/>
      <c r="W54" s="290"/>
    </row>
    <row r="55" spans="1:23">
      <c r="Q55" s="290"/>
      <c r="R55" s="290"/>
      <c r="S55" s="290"/>
      <c r="T55" s="290"/>
      <c r="U55" s="290"/>
      <c r="V55" s="290"/>
      <c r="W55" s="290"/>
    </row>
    <row r="56" spans="1:23">
      <c r="Q56" s="290"/>
      <c r="R56" s="290"/>
      <c r="S56" s="290"/>
      <c r="T56" s="290"/>
      <c r="U56" s="290"/>
      <c r="V56" s="290"/>
      <c r="W56" s="290"/>
    </row>
    <row r="57" spans="1:23">
      <c r="Q57" s="290"/>
      <c r="R57" s="290"/>
      <c r="S57" s="290"/>
      <c r="T57" s="290"/>
      <c r="U57" s="290"/>
      <c r="V57" s="290"/>
      <c r="W57" s="290"/>
    </row>
    <row r="58" spans="1:23">
      <c r="Q58" s="290"/>
      <c r="R58" s="290"/>
      <c r="S58" s="290"/>
      <c r="T58" s="290"/>
      <c r="U58" s="290"/>
      <c r="V58" s="290"/>
      <c r="W58" s="290"/>
    </row>
    <row r="59" spans="1:23">
      <c r="Q59" s="290"/>
      <c r="R59" s="290"/>
      <c r="S59" s="290"/>
      <c r="T59" s="290"/>
      <c r="U59" s="290"/>
      <c r="V59" s="290"/>
      <c r="W59" s="290"/>
    </row>
    <row r="60" spans="1:23">
      <c r="J60" s="121" t="s">
        <v>229</v>
      </c>
      <c r="Q60" s="290"/>
      <c r="R60" s="290"/>
      <c r="S60" s="290"/>
      <c r="T60" s="290"/>
      <c r="U60" s="290"/>
      <c r="V60" s="290"/>
      <c r="W60" s="290"/>
    </row>
    <row r="61" spans="1:23">
      <c r="Q61" s="290"/>
      <c r="R61" s="290"/>
      <c r="S61" s="290"/>
      <c r="T61" s="290"/>
      <c r="U61" s="290"/>
      <c r="V61" s="290"/>
      <c r="W61" s="290"/>
    </row>
    <row r="62" spans="1:23">
      <c r="Q62" s="290"/>
      <c r="R62" s="290"/>
      <c r="S62" s="290"/>
      <c r="T62" s="290"/>
      <c r="U62" s="290"/>
      <c r="V62" s="290"/>
      <c r="W62" s="290"/>
    </row>
    <row r="63" spans="1:23">
      <c r="Q63" s="290"/>
      <c r="R63" s="290"/>
      <c r="S63" s="290"/>
      <c r="T63" s="290"/>
      <c r="U63" s="290"/>
      <c r="V63" s="290"/>
      <c r="W63" s="290"/>
    </row>
    <row r="89" spans="2:3" s="283" customFormat="1"/>
    <row r="90" spans="2:3" s="283" customFormat="1"/>
    <row r="91" spans="2:3" s="283" customFormat="1">
      <c r="B91" s="295" t="str">
        <f>"GHG Emissions by Sector "&amp;J26</f>
        <v>GHG Emissions by Sector 2020</v>
      </c>
    </row>
    <row r="92" spans="2:3" s="283" customFormat="1">
      <c r="C92" s="283">
        <f>J26</f>
        <v>2020</v>
      </c>
    </row>
    <row r="93" spans="2:3" s="283" customFormat="1">
      <c r="B93" s="283" t="s">
        <v>217</v>
      </c>
      <c r="C93" s="283">
        <f>HLOOKUP($C$92,$C$104:$AL$109,2,FALSE)</f>
        <v>177.79470932495255</v>
      </c>
    </row>
    <row r="94" spans="2:3" s="283" customFormat="1">
      <c r="B94" s="283" t="s">
        <v>10</v>
      </c>
      <c r="C94" s="283">
        <f>HLOOKUP($C$92,$C$104:$AL$109,3,FALSE)</f>
        <v>10.477042021958107</v>
      </c>
    </row>
    <row r="95" spans="2:3" s="283" customFormat="1">
      <c r="B95" s="283" t="s">
        <v>219</v>
      </c>
      <c r="C95" s="283">
        <f>HLOOKUP($C$92,$C$104:$AL$109,4,FALSE)</f>
        <v>27.761590295302181</v>
      </c>
    </row>
    <row r="96" spans="2:3" s="283" customFormat="1">
      <c r="B96" s="283" t="s">
        <v>220</v>
      </c>
      <c r="C96" s="283">
        <f>HLOOKUP($C$92,$C$104:$AL$109,5,FALSE)</f>
        <v>0</v>
      </c>
    </row>
    <row r="97" spans="1:38" s="283" customFormat="1">
      <c r="B97" s="283" t="s">
        <v>221</v>
      </c>
      <c r="C97" s="283">
        <f>HLOOKUP($C$92,$C$104:$AL$109,6,FALSE)</f>
        <v>6.9339516412511202</v>
      </c>
    </row>
    <row r="98" spans="1:38" s="283" customFormat="1"/>
    <row r="99" spans="1:38" s="283" customFormat="1"/>
    <row r="100" spans="1:38" s="283" customFormat="1"/>
    <row r="101" spans="1:38" s="283" customFormat="1">
      <c r="A101" s="283" t="s">
        <v>230</v>
      </c>
    </row>
    <row r="102" spans="1:38" s="283" customFormat="1">
      <c r="B102" s="283" t="s">
        <v>231</v>
      </c>
      <c r="C102" s="294">
        <f t="shared" ref="C102:AF102" si="22">SUM(C7:C10)</f>
        <v>8.6504483440692823</v>
      </c>
      <c r="D102" s="294">
        <f t="shared" si="22"/>
        <v>8.8574704700845981</v>
      </c>
      <c r="E102" s="294">
        <f t="shared" si="22"/>
        <v>9.2884245361444471</v>
      </c>
      <c r="F102" s="294">
        <f t="shared" si="22"/>
        <v>7.9738997029989953</v>
      </c>
      <c r="G102" s="294">
        <f t="shared" si="22"/>
        <v>9.0757297833254409</v>
      </c>
      <c r="H102" s="294">
        <f t="shared" si="22"/>
        <v>9.3319646407854311</v>
      </c>
      <c r="I102" s="294">
        <f t="shared" si="22"/>
        <v>9.1442107205515359</v>
      </c>
      <c r="J102" s="294">
        <f t="shared" si="22"/>
        <v>8.5594412681749628</v>
      </c>
      <c r="K102" s="294">
        <f t="shared" si="22"/>
        <v>7.9707942053559231</v>
      </c>
      <c r="L102" s="294">
        <f t="shared" si="22"/>
        <v>7.8008244769596207</v>
      </c>
      <c r="M102" s="294">
        <f t="shared" si="22"/>
        <v>8.0811990971817824</v>
      </c>
      <c r="N102" s="294">
        <f t="shared" si="22"/>
        <v>7.1840054875347645</v>
      </c>
      <c r="O102" s="294">
        <f t="shared" si="22"/>
        <v>6.4065839135214864</v>
      </c>
      <c r="P102" s="294">
        <f t="shared" si="22"/>
        <v>5.8408094762822618</v>
      </c>
      <c r="Q102" s="294">
        <f t="shared" si="22"/>
        <v>6.3131091331786671</v>
      </c>
      <c r="R102" s="294">
        <f t="shared" si="22"/>
        <v>6.5061894453884763</v>
      </c>
      <c r="S102" s="294">
        <f t="shared" si="22"/>
        <v>6.5580287376266204</v>
      </c>
      <c r="T102" s="294">
        <f t="shared" si="22"/>
        <v>5.0650089666726119</v>
      </c>
      <c r="U102" s="294">
        <f t="shared" si="22"/>
        <v>6.7088363312039165</v>
      </c>
      <c r="V102" s="294">
        <f t="shared" si="22"/>
        <v>6.3544223248149727</v>
      </c>
      <c r="W102" s="294">
        <f t="shared" si="22"/>
        <v>11.022577379385559</v>
      </c>
      <c r="X102" s="294">
        <f t="shared" si="22"/>
        <v>10.445484331812597</v>
      </c>
      <c r="Y102" s="294">
        <f t="shared" si="22"/>
        <v>11.412999827385384</v>
      </c>
      <c r="Z102" s="294">
        <f t="shared" si="22"/>
        <v>10.989590995261965</v>
      </c>
      <c r="AA102" s="294">
        <f t="shared" si="22"/>
        <v>11.121607845168706</v>
      </c>
      <c r="AB102" s="294">
        <f t="shared" si="22"/>
        <v>11.497913644439912</v>
      </c>
      <c r="AC102" s="294">
        <f t="shared" si="22"/>
        <v>11.627014614599272</v>
      </c>
      <c r="AD102" s="294">
        <f t="shared" si="22"/>
        <v>10.208256977660838</v>
      </c>
      <c r="AE102" s="294">
        <f t="shared" si="22"/>
        <v>9.0914484150104506</v>
      </c>
      <c r="AF102" s="294">
        <f t="shared" si="22"/>
        <v>8.6198738470920766</v>
      </c>
      <c r="AG102" s="294">
        <f>SUM(AG7:AG10)</f>
        <v>7.5181043554643434</v>
      </c>
      <c r="AH102" s="294">
        <f t="shared" ref="AH102:AL102" si="23">SUM(AH7:AH10)</f>
        <v>4.1559464073343753</v>
      </c>
      <c r="AI102" s="294">
        <f t="shared" si="23"/>
        <v>4.1506728251231495</v>
      </c>
      <c r="AJ102" s="294">
        <f t="shared" si="23"/>
        <v>0.32827812681537971</v>
      </c>
      <c r="AK102" s="294">
        <f t="shared" si="23"/>
        <v>0.32270198347361084</v>
      </c>
      <c r="AL102" s="294">
        <f t="shared" si="23"/>
        <v>0.31748190045141383</v>
      </c>
    </row>
    <row r="103" spans="1:38" s="283" customFormat="1"/>
    <row r="104" spans="1:38" s="283" customFormat="1">
      <c r="A104" s="283" t="s">
        <v>232</v>
      </c>
      <c r="C104" s="283">
        <v>1990</v>
      </c>
      <c r="D104" s="283">
        <v>1991</v>
      </c>
      <c r="E104" s="283">
        <v>1992</v>
      </c>
      <c r="F104" s="283">
        <v>1993</v>
      </c>
      <c r="G104" s="283">
        <v>1994</v>
      </c>
      <c r="H104" s="283">
        <v>1995</v>
      </c>
      <c r="I104" s="283">
        <v>1996</v>
      </c>
      <c r="J104" s="283">
        <v>1997</v>
      </c>
      <c r="K104" s="283">
        <v>1998</v>
      </c>
      <c r="L104" s="283">
        <v>1999</v>
      </c>
      <c r="M104" s="283">
        <v>2000</v>
      </c>
      <c r="N104" s="283">
        <v>2001</v>
      </c>
      <c r="O104" s="283">
        <v>2002</v>
      </c>
      <c r="P104" s="283">
        <v>2003</v>
      </c>
      <c r="Q104" s="283">
        <v>2004</v>
      </c>
      <c r="R104" s="283">
        <v>2005</v>
      </c>
      <c r="S104" s="283">
        <v>2006</v>
      </c>
      <c r="T104" s="283">
        <v>2007</v>
      </c>
      <c r="U104" s="283">
        <v>2008</v>
      </c>
      <c r="V104" s="283">
        <v>2009</v>
      </c>
      <c r="W104" s="283">
        <v>2010</v>
      </c>
      <c r="X104" s="283">
        <v>2011</v>
      </c>
      <c r="Y104" s="283">
        <v>2012</v>
      </c>
      <c r="Z104" s="283">
        <v>2013</v>
      </c>
      <c r="AA104" s="283">
        <v>2014</v>
      </c>
      <c r="AB104" s="283">
        <v>2015</v>
      </c>
      <c r="AC104" s="283">
        <v>2016</v>
      </c>
      <c r="AD104" s="283">
        <v>2017</v>
      </c>
      <c r="AE104" s="283">
        <v>2018</v>
      </c>
      <c r="AF104" s="283">
        <v>2019</v>
      </c>
      <c r="AG104" s="283">
        <v>2020</v>
      </c>
      <c r="AH104" s="283">
        <v>2021</v>
      </c>
      <c r="AI104" s="283">
        <v>2022</v>
      </c>
      <c r="AJ104" s="283">
        <v>2023</v>
      </c>
      <c r="AK104" s="283">
        <v>2024</v>
      </c>
      <c r="AL104" s="283">
        <v>2025</v>
      </c>
    </row>
    <row r="105" spans="1:38" s="283" customFormat="1">
      <c r="B105" s="283" t="str">
        <f t="shared" ref="B105:AF105" si="24">B5</f>
        <v>Energy</v>
      </c>
      <c r="C105" s="294">
        <f t="shared" si="24"/>
        <v>200.65173564340881</v>
      </c>
      <c r="D105" s="294">
        <f t="shared" si="24"/>
        <v>200.28840459646244</v>
      </c>
      <c r="E105" s="294">
        <f t="shared" si="24"/>
        <v>197.21965910125448</v>
      </c>
      <c r="F105" s="294">
        <f t="shared" si="24"/>
        <v>211.40428679546545</v>
      </c>
      <c r="G105" s="294">
        <f t="shared" si="24"/>
        <v>213.9420465823375</v>
      </c>
      <c r="H105" s="294">
        <f t="shared" si="24"/>
        <v>217.86712367980286</v>
      </c>
      <c r="I105" s="294">
        <f t="shared" si="24"/>
        <v>231.89657354684482</v>
      </c>
      <c r="J105" s="294">
        <f t="shared" si="24"/>
        <v>233.860717553222</v>
      </c>
      <c r="K105" s="294">
        <f t="shared" si="24"/>
        <v>224.98704617457764</v>
      </c>
      <c r="L105" s="294">
        <f t="shared" si="24"/>
        <v>235.72621658741835</v>
      </c>
      <c r="M105" s="294">
        <f t="shared" si="24"/>
        <v>242.71531308676649</v>
      </c>
      <c r="N105" s="294">
        <f t="shared" si="24"/>
        <v>234.73690270619045</v>
      </c>
      <c r="O105" s="294">
        <f t="shared" si="24"/>
        <v>238.05700162924131</v>
      </c>
      <c r="P105" s="294">
        <f t="shared" si="24"/>
        <v>241.2302815186427</v>
      </c>
      <c r="Q105" s="294">
        <f t="shared" si="24"/>
        <v>247.43115473035212</v>
      </c>
      <c r="R105" s="294">
        <f t="shared" si="24"/>
        <v>252.88858261099614</v>
      </c>
      <c r="S105" s="294">
        <f t="shared" si="24"/>
        <v>245.28596933063011</v>
      </c>
      <c r="T105" s="294">
        <f t="shared" si="24"/>
        <v>250.27345114764816</v>
      </c>
      <c r="U105" s="294">
        <f t="shared" si="24"/>
        <v>251.26922559446646</v>
      </c>
      <c r="V105" s="294">
        <f t="shared" si="24"/>
        <v>235.73204272918395</v>
      </c>
      <c r="W105" s="294">
        <f t="shared" si="24"/>
        <v>244.5994951562264</v>
      </c>
      <c r="X105" s="294">
        <f t="shared" si="24"/>
        <v>240.9051068855145</v>
      </c>
      <c r="Y105" s="294">
        <f t="shared" si="24"/>
        <v>228.3816084939383</v>
      </c>
      <c r="Z105" s="294">
        <f t="shared" si="24"/>
        <v>242.19308791270535</v>
      </c>
      <c r="AA105" s="294">
        <f t="shared" si="24"/>
        <v>245.27158051769385</v>
      </c>
      <c r="AB105" s="294">
        <f t="shared" si="24"/>
        <v>229.59312033419707</v>
      </c>
      <c r="AC105" s="294">
        <f t="shared" si="24"/>
        <v>217.78380613587751</v>
      </c>
      <c r="AD105" s="294">
        <f t="shared" si="24"/>
        <v>214.32599845986439</v>
      </c>
      <c r="AE105" s="294">
        <f t="shared" si="24"/>
        <v>220.15889807406501</v>
      </c>
      <c r="AF105" s="294">
        <f t="shared" si="24"/>
        <v>210.46702154236038</v>
      </c>
      <c r="AG105" s="294">
        <f>AG5</f>
        <v>177.79470932495255</v>
      </c>
      <c r="AH105" s="294">
        <f t="shared" ref="AH105:AL105" si="25">AH5</f>
        <v>4.1559464073343753</v>
      </c>
      <c r="AI105" s="294">
        <f t="shared" si="25"/>
        <v>4.1506728251231495</v>
      </c>
      <c r="AJ105" s="294">
        <f t="shared" si="25"/>
        <v>0.32827812681537971</v>
      </c>
      <c r="AK105" s="294">
        <f t="shared" si="25"/>
        <v>0.32270198347361084</v>
      </c>
      <c r="AL105" s="294">
        <f t="shared" si="25"/>
        <v>0.31748190045141383</v>
      </c>
    </row>
    <row r="106" spans="1:38" s="283" customFormat="1">
      <c r="B106" s="283" t="str">
        <f t="shared" ref="B106:AF106" si="26">B11</f>
        <v>Industrial Processes</v>
      </c>
      <c r="C106" s="294">
        <f t="shared" si="26"/>
        <v>3.4378826880760673</v>
      </c>
      <c r="D106" s="294">
        <f t="shared" si="26"/>
        <v>3.3228640023124774</v>
      </c>
      <c r="E106" s="294">
        <f t="shared" si="26"/>
        <v>3.4126665501592122</v>
      </c>
      <c r="F106" s="294">
        <f t="shared" si="26"/>
        <v>3.7276985517237011</v>
      </c>
      <c r="G106" s="294">
        <f t="shared" si="26"/>
        <v>4.4550339594991781</v>
      </c>
      <c r="H106" s="294">
        <f t="shared" si="26"/>
        <v>5.4460273624210238</v>
      </c>
      <c r="I106" s="294">
        <f t="shared" si="26"/>
        <v>6.0181588733852651</v>
      </c>
      <c r="J106" s="294">
        <f t="shared" si="26"/>
        <v>13.023129349511551</v>
      </c>
      <c r="K106" s="294">
        <f t="shared" si="26"/>
        <v>12.829807289921444</v>
      </c>
      <c r="L106" s="294">
        <f t="shared" si="26"/>
        <v>12.923063009003876</v>
      </c>
      <c r="M106" s="294">
        <f t="shared" si="26"/>
        <v>12.536240162970003</v>
      </c>
      <c r="N106" s="294">
        <f t="shared" si="26"/>
        <v>11.768138050707131</v>
      </c>
      <c r="O106" s="294">
        <f t="shared" si="26"/>
        <v>12.918359015483581</v>
      </c>
      <c r="P106" s="294">
        <f t="shared" si="26"/>
        <v>13.33832597739692</v>
      </c>
      <c r="Q106" s="294">
        <f t="shared" si="26"/>
        <v>11.687663625507314</v>
      </c>
      <c r="R106" s="294">
        <f t="shared" si="26"/>
        <v>11.770598108247617</v>
      </c>
      <c r="S106" s="294">
        <f t="shared" si="26"/>
        <v>12.019476723206125</v>
      </c>
      <c r="T106" s="294">
        <f t="shared" si="26"/>
        <v>11.980206190756896</v>
      </c>
      <c r="U106" s="294">
        <f t="shared" si="26"/>
        <v>11.786345512870355</v>
      </c>
      <c r="V106" s="294">
        <f t="shared" si="26"/>
        <v>8.3649041887104829</v>
      </c>
      <c r="W106" s="294">
        <f t="shared" si="26"/>
        <v>11.312175380706611</v>
      </c>
      <c r="X106" s="294">
        <f t="shared" si="26"/>
        <v>11.044625811438689</v>
      </c>
      <c r="Y106" s="294">
        <f t="shared" si="26"/>
        <v>11.176235888356777</v>
      </c>
      <c r="Z106" s="294">
        <f t="shared" si="26"/>
        <v>10.714791824820002</v>
      </c>
      <c r="AA106" s="294">
        <f t="shared" si="26"/>
        <v>10.605322656821288</v>
      </c>
      <c r="AB106" s="294">
        <f t="shared" si="26"/>
        <v>10.788155834808727</v>
      </c>
      <c r="AC106" s="294">
        <f t="shared" si="26"/>
        <v>10.681409969671726</v>
      </c>
      <c r="AD106" s="294">
        <f t="shared" si="26"/>
        <v>10.296939983227887</v>
      </c>
      <c r="AE106" s="294">
        <f t="shared" si="26"/>
        <v>10.00512096340467</v>
      </c>
      <c r="AF106" s="294">
        <f t="shared" si="26"/>
        <v>10.382622105645101</v>
      </c>
      <c r="AG106" s="294">
        <f>AG11</f>
        <v>10.477042021958107</v>
      </c>
      <c r="AH106" s="294">
        <f t="shared" ref="AH106:AL106" si="27">AH11</f>
        <v>0</v>
      </c>
      <c r="AI106" s="294">
        <f t="shared" si="27"/>
        <v>0</v>
      </c>
      <c r="AJ106" s="294">
        <f t="shared" si="27"/>
        <v>0</v>
      </c>
      <c r="AK106" s="294">
        <f t="shared" si="27"/>
        <v>0</v>
      </c>
      <c r="AL106" s="294">
        <f t="shared" si="27"/>
        <v>0</v>
      </c>
    </row>
    <row r="107" spans="1:38" s="283" customFormat="1">
      <c r="B107" s="283" t="str">
        <f t="shared" ref="B107:AF107" si="28">B12</f>
        <v xml:space="preserve">Agriculture </v>
      </c>
      <c r="C107" s="294">
        <f t="shared" si="28"/>
        <v>29.416809213452723</v>
      </c>
      <c r="D107" s="294">
        <f t="shared" si="28"/>
        <v>28.237728409590716</v>
      </c>
      <c r="E107" s="294">
        <f t="shared" si="28"/>
        <v>28.786542562537203</v>
      </c>
      <c r="F107" s="294">
        <f t="shared" si="28"/>
        <v>30.283642667819173</v>
      </c>
      <c r="G107" s="294">
        <f t="shared" si="28"/>
        <v>29.262614794469876</v>
      </c>
      <c r="H107" s="294">
        <f t="shared" si="28"/>
        <v>28.076241904172644</v>
      </c>
      <c r="I107" s="294">
        <f t="shared" si="28"/>
        <v>28.634002865524138</v>
      </c>
      <c r="J107" s="294">
        <f t="shared" si="28"/>
        <v>27.146421848593778</v>
      </c>
      <c r="K107" s="294">
        <f t="shared" si="28"/>
        <v>28.14809137171758</v>
      </c>
      <c r="L107" s="294">
        <f t="shared" si="28"/>
        <v>27.397913914993055</v>
      </c>
      <c r="M107" s="294">
        <f t="shared" si="28"/>
        <v>26.790015322366258</v>
      </c>
      <c r="N107" s="294">
        <f t="shared" si="28"/>
        <v>27.862463616256324</v>
      </c>
      <c r="O107" s="294">
        <f t="shared" si="28"/>
        <v>26.923984137539335</v>
      </c>
      <c r="P107" s="294">
        <f t="shared" si="28"/>
        <v>25.979380823862837</v>
      </c>
      <c r="Q107" s="294">
        <f t="shared" si="28"/>
        <v>28.006760002998526</v>
      </c>
      <c r="R107" s="294">
        <f t="shared" si="28"/>
        <v>26.226559128619609</v>
      </c>
      <c r="S107" s="294">
        <f t="shared" si="28"/>
        <v>27.157474856214279</v>
      </c>
      <c r="T107" s="294">
        <f t="shared" si="28"/>
        <v>26.758367734198114</v>
      </c>
      <c r="U107" s="294">
        <f t="shared" si="28"/>
        <v>27.150200074506525</v>
      </c>
      <c r="V107" s="294">
        <f t="shared" si="28"/>
        <v>25.129761764082993</v>
      </c>
      <c r="W107" s="294">
        <f t="shared" si="28"/>
        <v>26.019939495240106</v>
      </c>
      <c r="X107" s="294">
        <f t="shared" si="28"/>
        <v>26.640465801121668</v>
      </c>
      <c r="Y107" s="294">
        <f t="shared" si="28"/>
        <v>25.108536026594468</v>
      </c>
      <c r="Z107" s="294">
        <f t="shared" si="28"/>
        <v>28.479238465058877</v>
      </c>
      <c r="AA107" s="294">
        <f t="shared" si="28"/>
        <v>29.874678545694778</v>
      </c>
      <c r="AB107" s="294">
        <f t="shared" si="28"/>
        <v>28.774472690713715</v>
      </c>
      <c r="AC107" s="294">
        <f t="shared" si="28"/>
        <v>28.138592779752408</v>
      </c>
      <c r="AD107" s="294">
        <f t="shared" si="28"/>
        <v>29.316328290270047</v>
      </c>
      <c r="AE107" s="294">
        <f t="shared" si="28"/>
        <v>31.482602448167196</v>
      </c>
      <c r="AF107" s="294">
        <f t="shared" si="28"/>
        <v>28.581602292350041</v>
      </c>
      <c r="AG107" s="294">
        <f>AG12</f>
        <v>27.761590295302181</v>
      </c>
      <c r="AH107" s="294">
        <f t="shared" ref="AH107:AL107" si="29">AH12</f>
        <v>27.120146492352621</v>
      </c>
      <c r="AI107" s="294">
        <f t="shared" si="29"/>
        <v>0</v>
      </c>
      <c r="AJ107" s="294">
        <f t="shared" si="29"/>
        <v>0</v>
      </c>
      <c r="AK107" s="294">
        <f t="shared" si="29"/>
        <v>0</v>
      </c>
      <c r="AL107" s="294">
        <f t="shared" si="29"/>
        <v>0</v>
      </c>
    </row>
    <row r="108" spans="1:38" s="283" customFormat="1">
      <c r="B108" s="283" t="str">
        <f>B13</f>
        <v>LULUCF</v>
      </c>
      <c r="C108" s="283">
        <f t="shared" ref="C108:R108" si="30">IF(C13&lt;0,0,C13)</f>
        <v>0</v>
      </c>
      <c r="D108" s="283">
        <f t="shared" si="30"/>
        <v>0</v>
      </c>
      <c r="E108" s="283">
        <f t="shared" si="30"/>
        <v>0</v>
      </c>
      <c r="F108" s="283">
        <f t="shared" si="30"/>
        <v>0</v>
      </c>
      <c r="G108" s="283">
        <f t="shared" si="30"/>
        <v>0</v>
      </c>
      <c r="H108" s="283">
        <f t="shared" si="30"/>
        <v>0</v>
      </c>
      <c r="I108" s="283">
        <f t="shared" si="30"/>
        <v>0</v>
      </c>
      <c r="J108" s="283">
        <f t="shared" si="30"/>
        <v>0</v>
      </c>
      <c r="K108" s="283">
        <f t="shared" si="30"/>
        <v>0</v>
      </c>
      <c r="L108" s="283">
        <f t="shared" si="30"/>
        <v>0</v>
      </c>
      <c r="M108" s="283">
        <f t="shared" si="30"/>
        <v>0</v>
      </c>
      <c r="N108" s="283">
        <f t="shared" si="30"/>
        <v>0</v>
      </c>
      <c r="O108" s="283">
        <f t="shared" si="30"/>
        <v>0</v>
      </c>
      <c r="P108" s="283">
        <f t="shared" si="30"/>
        <v>0</v>
      </c>
      <c r="Q108" s="283">
        <f t="shared" si="30"/>
        <v>0</v>
      </c>
      <c r="R108" s="283">
        <f t="shared" si="30"/>
        <v>0</v>
      </c>
      <c r="S108" s="283">
        <f t="shared" ref="S108:AF108" si="31">IF(S13&lt;0,0,S13)</f>
        <v>0</v>
      </c>
      <c r="T108" s="283">
        <f t="shared" si="31"/>
        <v>0</v>
      </c>
      <c r="U108" s="283">
        <f t="shared" si="31"/>
        <v>0</v>
      </c>
      <c r="V108" s="283">
        <f t="shared" si="31"/>
        <v>0</v>
      </c>
      <c r="W108" s="283">
        <f t="shared" si="31"/>
        <v>0</v>
      </c>
      <c r="X108" s="283">
        <f t="shared" si="31"/>
        <v>0</v>
      </c>
      <c r="Y108" s="283">
        <f t="shared" si="31"/>
        <v>0</v>
      </c>
      <c r="Z108" s="283">
        <f t="shared" si="31"/>
        <v>0</v>
      </c>
      <c r="AA108" s="283">
        <f t="shared" si="31"/>
        <v>0</v>
      </c>
      <c r="AB108" s="283">
        <f t="shared" si="31"/>
        <v>0</v>
      </c>
      <c r="AC108" s="283">
        <f t="shared" si="31"/>
        <v>0</v>
      </c>
      <c r="AD108" s="283">
        <f t="shared" si="31"/>
        <v>0</v>
      </c>
      <c r="AE108" s="283">
        <f t="shared" si="31"/>
        <v>0</v>
      </c>
      <c r="AF108" s="283">
        <f t="shared" si="31"/>
        <v>0</v>
      </c>
      <c r="AG108" s="283">
        <f>IF(AG13&lt;0,0,AG13)</f>
        <v>0</v>
      </c>
      <c r="AH108" s="283">
        <f t="shared" ref="AH108:AL108" si="32">IF(AH13&lt;0,0,AH13)</f>
        <v>0</v>
      </c>
      <c r="AI108" s="283">
        <f t="shared" si="32"/>
        <v>0</v>
      </c>
      <c r="AJ108" s="283">
        <f t="shared" si="32"/>
        <v>0</v>
      </c>
      <c r="AK108" s="283">
        <f t="shared" si="32"/>
        <v>0</v>
      </c>
      <c r="AL108" s="283">
        <f t="shared" si="32"/>
        <v>0</v>
      </c>
    </row>
    <row r="109" spans="1:38" s="283" customFormat="1">
      <c r="B109" s="283" t="str">
        <f>B14</f>
        <v>Waste</v>
      </c>
      <c r="C109" s="294">
        <f t="shared" ref="C109:R109" si="33">C14</f>
        <v>11.428414909824196</v>
      </c>
      <c r="D109" s="294">
        <f t="shared" si="33"/>
        <v>11.653767859299396</v>
      </c>
      <c r="E109" s="294">
        <f t="shared" si="33"/>
        <v>12.014423878787824</v>
      </c>
      <c r="F109" s="294">
        <f t="shared" si="33"/>
        <v>12.327041580865448</v>
      </c>
      <c r="G109" s="294">
        <f t="shared" si="33"/>
        <v>12.556522132753431</v>
      </c>
      <c r="H109" s="294">
        <f t="shared" si="33"/>
        <v>12.79804129911949</v>
      </c>
      <c r="I109" s="294">
        <f t="shared" si="33"/>
        <v>12.937213407412152</v>
      </c>
      <c r="J109" s="294">
        <f t="shared" si="33"/>
        <v>12.636534051943846</v>
      </c>
      <c r="K109" s="294">
        <f t="shared" si="33"/>
        <v>11.617726299031597</v>
      </c>
      <c r="L109" s="294">
        <f t="shared" si="33"/>
        <v>11.363324631247114</v>
      </c>
      <c r="M109" s="294">
        <f t="shared" si="33"/>
        <v>10.344826125895096</v>
      </c>
      <c r="N109" s="294">
        <f t="shared" si="33"/>
        <v>4.5257550462419136</v>
      </c>
      <c r="O109" s="294">
        <f t="shared" si="33"/>
        <v>6.7693468549285161</v>
      </c>
      <c r="P109" s="294">
        <f t="shared" si="33"/>
        <v>9.1617847671573909</v>
      </c>
      <c r="Q109" s="294">
        <f t="shared" si="33"/>
        <v>9.5538175351679016</v>
      </c>
      <c r="R109" s="294">
        <f t="shared" si="33"/>
        <v>10.833296160220907</v>
      </c>
      <c r="S109" s="294">
        <f t="shared" ref="S109:AF109" si="34">S14</f>
        <v>12.138303000582704</v>
      </c>
      <c r="T109" s="294">
        <f t="shared" si="34"/>
        <v>13.090121964963771</v>
      </c>
      <c r="U109" s="294">
        <f t="shared" si="34"/>
        <v>13.094067473354469</v>
      </c>
      <c r="V109" s="294">
        <f t="shared" si="34"/>
        <v>12.23160925066194</v>
      </c>
      <c r="W109" s="294">
        <f t="shared" si="34"/>
        <v>11.909697588327788</v>
      </c>
      <c r="X109" s="294">
        <f t="shared" si="34"/>
        <v>11.567126120455873</v>
      </c>
      <c r="Y109" s="294">
        <f t="shared" si="34"/>
        <v>9.9933215641726711</v>
      </c>
      <c r="Z109" s="294">
        <f t="shared" si="34"/>
        <v>9.1730482960454651</v>
      </c>
      <c r="AA109" s="294">
        <f t="shared" si="34"/>
        <v>9.1787417669589679</v>
      </c>
      <c r="AB109" s="294">
        <f t="shared" si="34"/>
        <v>9.0886867024912679</v>
      </c>
      <c r="AC109" s="294">
        <f t="shared" si="34"/>
        <v>9.3041473145943581</v>
      </c>
      <c r="AD109" s="294">
        <f t="shared" si="34"/>
        <v>9.9383402758194173</v>
      </c>
      <c r="AE109" s="294">
        <f t="shared" si="34"/>
        <v>9.4492543118880867</v>
      </c>
      <c r="AF109" s="294">
        <f t="shared" si="34"/>
        <v>7.9781327693566766</v>
      </c>
      <c r="AG109" s="294">
        <f>AG14</f>
        <v>6.9339516412511202</v>
      </c>
      <c r="AH109" s="294">
        <f t="shared" ref="AH109:AL109" si="35">AH14</f>
        <v>0</v>
      </c>
      <c r="AI109" s="294">
        <f t="shared" si="35"/>
        <v>0</v>
      </c>
      <c r="AJ109" s="294">
        <f t="shared" si="35"/>
        <v>0</v>
      </c>
      <c r="AK109" s="294">
        <f t="shared" si="35"/>
        <v>0</v>
      </c>
      <c r="AL109" s="294">
        <f t="shared" si="35"/>
        <v>0</v>
      </c>
    </row>
    <row r="110" spans="1:38" s="283" customFormat="1"/>
  </sheetData>
  <sheetProtection algorithmName="SHA-512" hashValue="q/1LoA7S9Xy2v9JAKr4qkJzFHZOoEer59XAAXmL/EVkBXgT5ozOCJqNg7E5pIJQbYCimNHraCBbwiLht7KMWmg==" saltValue="OWS8ViEGdcxERqajc/+2Eg==" spinCount="100000" sheet="1" objects="1" scenarios="1"/>
  <mergeCells count="1">
    <mergeCell ref="A1:E1"/>
  </mergeCells>
  <phoneticPr fontId="17" type="noConversion"/>
  <pageMargins left="0.75" right="0.75" top="1" bottom="1" header="0.5" footer="0.5"/>
  <pageSetup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2309" r:id="rId4" name="Spinner 21">
              <controlPr defaultSize="0" autoPict="0">
                <anchor moveWithCells="1" sizeWithCells="1">
                  <from>
                    <xdr:col>10</xdr:col>
                    <xdr:colOff>266700</xdr:colOff>
                    <xdr:row>24</xdr:row>
                    <xdr:rowOff>95250</xdr:rowOff>
                  </from>
                  <to>
                    <xdr:col>12</xdr:col>
                    <xdr:colOff>114300</xdr:colOff>
                    <xdr:row>26</xdr:row>
                    <xdr:rowOff>31750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AL34"/>
  <sheetViews>
    <sheetView showGridLines="0" showRowColHeaders="0" topLeftCell="AE1" workbookViewId="0">
      <selection activeCell="AH7" sqref="AH7"/>
    </sheetView>
  </sheetViews>
  <sheetFormatPr defaultRowHeight="12.5"/>
  <cols>
    <col min="2" max="2" width="36.54296875" customWidth="1"/>
    <col min="3" max="9" width="10.26953125" customWidth="1"/>
    <col min="10" max="33" width="11.54296875" customWidth="1"/>
  </cols>
  <sheetData>
    <row r="1" spans="1:38" s="121" customFormat="1" ht="41.25" customHeight="1">
      <c r="A1" s="426" t="str">
        <f>"Summary of GHG Emissions by Population in "&amp;StateName</f>
        <v>Summary of GHG Emissions by Population in Illinois</v>
      </c>
      <c r="B1" s="426"/>
      <c r="C1" s="426"/>
      <c r="D1" s="426"/>
      <c r="E1" s="426"/>
      <c r="F1" s="143"/>
      <c r="S1"/>
    </row>
    <row r="5" spans="1:38" ht="14.5" thickBot="1">
      <c r="B5" s="123" t="s">
        <v>246</v>
      </c>
      <c r="C5" s="123">
        <v>1990</v>
      </c>
      <c r="D5" s="123">
        <v>1991</v>
      </c>
      <c r="E5" s="123">
        <v>1992</v>
      </c>
      <c r="F5" s="123">
        <v>1993</v>
      </c>
      <c r="G5" s="123">
        <v>1994</v>
      </c>
      <c r="H5" s="123">
        <v>1995</v>
      </c>
      <c r="I5" s="123">
        <v>1996</v>
      </c>
      <c r="J5" s="123">
        <v>1997</v>
      </c>
      <c r="K5" s="123">
        <v>1998</v>
      </c>
      <c r="L5" s="123">
        <v>1999</v>
      </c>
      <c r="M5" s="123">
        <v>2000</v>
      </c>
      <c r="N5" s="123">
        <v>2001</v>
      </c>
      <c r="O5" s="123">
        <v>2002</v>
      </c>
      <c r="P5" s="123">
        <v>2003</v>
      </c>
      <c r="Q5" s="123">
        <v>2004</v>
      </c>
      <c r="R5" s="123">
        <v>2005</v>
      </c>
      <c r="S5" s="123">
        <v>2006</v>
      </c>
      <c r="T5" s="123">
        <v>2007</v>
      </c>
      <c r="U5" s="123">
        <v>2008</v>
      </c>
      <c r="V5" s="123">
        <v>2009</v>
      </c>
      <c r="W5" s="123">
        <v>2010</v>
      </c>
      <c r="X5" s="123">
        <v>2011</v>
      </c>
      <c r="Y5" s="123">
        <v>2012</v>
      </c>
      <c r="Z5" s="123">
        <v>2013</v>
      </c>
      <c r="AA5" s="123">
        <v>2014</v>
      </c>
      <c r="AB5" s="123">
        <v>2015</v>
      </c>
      <c r="AC5" s="123">
        <v>2016</v>
      </c>
      <c r="AD5" s="123">
        <v>2017</v>
      </c>
      <c r="AE5" s="123">
        <v>2018</v>
      </c>
      <c r="AF5" s="123">
        <v>2019</v>
      </c>
      <c r="AG5" s="123">
        <v>2020</v>
      </c>
      <c r="AH5" s="123">
        <v>2021</v>
      </c>
      <c r="AI5" s="123">
        <v>2022</v>
      </c>
      <c r="AJ5" s="123">
        <v>2023</v>
      </c>
      <c r="AK5" s="123">
        <v>2024</v>
      </c>
      <c r="AL5" s="123">
        <v>2025</v>
      </c>
    </row>
    <row r="6" spans="1:38" s="121" customFormat="1" ht="15.5">
      <c r="A6" s="122"/>
      <c r="B6" s="261" t="s">
        <v>247</v>
      </c>
      <c r="C6" s="207">
        <f>IF(ISERROR(('Summary by Gas'!C32/VLOOKUP(StateID,Population!$A$3:$AF$54,'Gas Intensity'!C5-1988,FALSE))*1000),0,('Summary by Gas'!C32/VLOOKUP(StateID,Population!$A$3:$AF$54,'Gas Intensity'!C5-1988,FALSE))*1000)</f>
        <v>21.427193033026036</v>
      </c>
      <c r="D6" s="207">
        <f>IF(ISERROR(('Summary by Gas'!D32/VLOOKUP(StateID,Population!$A$3:$AF$54,'Gas Intensity'!D5-1988,FALSE))*1000),0,('Summary by Gas'!D32/VLOOKUP(StateID,Population!$A$3:$AF$54,'Gas Intensity'!D5-1988,FALSE))*1000)</f>
        <v>21.08936356623753</v>
      </c>
      <c r="E6" s="207">
        <f>IF(ISERROR(('Summary by Gas'!E32/VLOOKUP(StateID,Population!$A$3:$AF$54,'Gas Intensity'!E5-1988,FALSE))*1000),0,('Summary by Gas'!E32/VLOOKUP(StateID,Population!$A$3:$AF$54,'Gas Intensity'!E5-1988,FALSE))*1000)</f>
        <v>20.684110515521965</v>
      </c>
      <c r="F6" s="207">
        <f>IF(ISERROR(('Summary by Gas'!F32/VLOOKUP(StateID,Population!$A$3:$AF$54,'Gas Intensity'!F5-1988,FALSE))*1000),0,('Summary by Gas'!F32/VLOOKUP(StateID,Population!$A$3:$AF$54,'Gas Intensity'!F5-1988,FALSE))*1000)</f>
        <v>21.863036227539801</v>
      </c>
      <c r="G6" s="207">
        <f>IF(ISERROR(('Summary by Gas'!G32/VLOOKUP(StateID,Population!$A$3:$AF$54,'Gas Intensity'!G5-1988,FALSE))*1000),0,('Summary by Gas'!G32/VLOOKUP(StateID,Population!$A$3:$AF$54,'Gas Intensity'!G5-1988,FALSE))*1000)</f>
        <v>21.882172806595534</v>
      </c>
      <c r="H6" s="207">
        <f>IF(ISERROR(('Summary by Gas'!H32/VLOOKUP(StateID,Population!$A$3:$AF$54,'Gas Intensity'!H5-1988,FALSE))*1000),0,('Summary by Gas'!H32/VLOOKUP(StateID,Population!$A$3:$AF$54,'Gas Intensity'!H5-1988,FALSE))*1000)</f>
        <v>22.036735039704745</v>
      </c>
      <c r="I6" s="207">
        <f>IF(ISERROR(('Summary by Gas'!I32/VLOOKUP(StateID,Population!$A$3:$AF$54,'Gas Intensity'!I5-1988,FALSE))*1000),0,('Summary by Gas'!I32/VLOOKUP(StateID,Population!$A$3:$AF$54,'Gas Intensity'!I5-1988,FALSE))*1000)</f>
        <v>23.132446301219872</v>
      </c>
      <c r="J6" s="207">
        <f>IF(ISERROR(('Summary by Gas'!J32/VLOOKUP(StateID,Population!$A$3:$AF$54,'Gas Intensity'!J5-1988,FALSE))*1000),0,('Summary by Gas'!J32/VLOOKUP(StateID,Population!$A$3:$AF$54,'Gas Intensity'!J5-1988,FALSE))*1000)</f>
        <v>23.560935428096727</v>
      </c>
      <c r="K6" s="207">
        <f>IF(ISERROR(('Summary by Gas'!K32/VLOOKUP(StateID,Population!$A$3:$AF$54,'Gas Intensity'!K5-1988,FALSE))*1000),0,('Summary by Gas'!K32/VLOOKUP(StateID,Population!$A$3:$AF$54,'Gas Intensity'!K5-1988,FALSE))*1000)</f>
        <v>22.655925300825071</v>
      </c>
      <c r="L6" s="207">
        <f>IF(ISERROR(('Summary by Gas'!L32/VLOOKUP(StateID,Population!$A$3:$AF$54,'Gas Intensity'!L5-1988,FALSE))*1000),0,('Summary by Gas'!L32/VLOOKUP(StateID,Population!$A$3:$AF$54,'Gas Intensity'!L5-1988,FALSE))*1000)</f>
        <v>23.28953973051064</v>
      </c>
      <c r="M6" s="207">
        <f>IF(ISERROR(('Summary by Gas'!M32/VLOOKUP(StateID,Population!$A$3:$AF$54,'Gas Intensity'!M5-1988,FALSE))*1000),0,('Summary by Gas'!M32/VLOOKUP(StateID,Population!$A$3:$AF$54,'Gas Intensity'!M5-1988,FALSE))*1000)</f>
        <v>23.547005452605131</v>
      </c>
      <c r="N6" s="207">
        <f>IF(ISERROR(('Summary by Gas'!N32/VLOOKUP(StateID,Population!$A$3:$AF$54,'Gas Intensity'!N5-1988,FALSE))*1000),0,('Summary by Gas'!N32/VLOOKUP(StateID,Population!$A$3:$AF$54,'Gas Intensity'!N5-1988,FALSE))*1000)</f>
        <v>22.363824544446011</v>
      </c>
      <c r="O6" s="207">
        <f>IF(ISERROR(('Summary by Gas'!O32/VLOOKUP(StateID,Population!$A$3:$AF$54,'Gas Intensity'!O5-1988,FALSE))*1000),0,('Summary by Gas'!O32/VLOOKUP(StateID,Population!$A$3:$AF$54,'Gas Intensity'!O5-1988,FALSE))*1000)</f>
        <v>22.757284247164016</v>
      </c>
      <c r="P6" s="207">
        <f>IF(ISERROR(('Summary by Gas'!P32/VLOOKUP(StateID,Population!$A$3:$AF$54,'Gas Intensity'!P5-1988,FALSE))*1000),0,('Summary by Gas'!P32/VLOOKUP(StateID,Population!$A$3:$AF$54,'Gas Intensity'!P5-1988,FALSE))*1000)</f>
        <v>23.104356077242343</v>
      </c>
      <c r="Q6" s="207">
        <f>IF(ISERROR(('Summary by Gas'!Q32/VLOOKUP(StateID,Population!$A$3:$AF$54,'Gas Intensity'!Q5-1988,FALSE))*1000),0,('Summary by Gas'!Q32/VLOOKUP(StateID,Population!$A$3:$AF$54,'Gas Intensity'!Q5-1988,FALSE))*1000)</f>
        <v>23.598590088947574</v>
      </c>
      <c r="R6" s="207">
        <f>IF(ISERROR(('Summary by Gas'!R32/VLOOKUP(StateID,Population!$A$3:$AF$54,'Gas Intensity'!R5-1988,FALSE))*1000),0,('Summary by Gas'!R32/VLOOKUP(StateID,Population!$A$3:$AF$54,'Gas Intensity'!R5-1988,FALSE))*1000)</f>
        <v>23.959779756453635</v>
      </c>
      <c r="S6" s="207">
        <f>IF(ISERROR(('Summary by Gas'!S32/VLOOKUP(StateID,Population!$A$3:$AF$54,'Gas Intensity'!S5-1988,FALSE))*1000),0,('Summary by Gas'!S32/VLOOKUP(StateID,Population!$A$3:$AF$54,'Gas Intensity'!S5-1988,FALSE))*1000)</f>
        <v>23.492512897614734</v>
      </c>
      <c r="T6" s="207">
        <f>IF(ISERROR(('Summary by Gas'!T32/VLOOKUP(StateID,Population!$A$3:$AF$54,'Gas Intensity'!T5-1988,FALSE))*1000),0,('Summary by Gas'!T32/VLOOKUP(StateID,Population!$A$3:$AF$54,'Gas Intensity'!T5-1988,FALSE))*1000)</f>
        <v>23.83120386832648</v>
      </c>
      <c r="U6" s="207">
        <f>IF(ISERROR(('Summary by Gas'!U32/VLOOKUP(StateID,Population!$A$3:$AF$54,'Gas Intensity'!U5-1988,FALSE))*1000),0,('Summary by Gas'!U32/VLOOKUP(StateID,Population!$A$3:$AF$54,'Gas Intensity'!U5-1988,FALSE))*1000)</f>
        <v>23.829636507718767</v>
      </c>
      <c r="V6" s="207">
        <f>IF(ISERROR(('Summary by Gas'!V32/VLOOKUP(StateID,Population!$A$3:$AF$54,'Gas Intensity'!V5-1988,FALSE))*1000),0,('Summary by Gas'!V32/VLOOKUP(StateID,Population!$A$3:$AF$54,'Gas Intensity'!V5-1988,FALSE))*1000)</f>
        <v>22.028123316757029</v>
      </c>
      <c r="W6" s="207">
        <f>IF(ISERROR(('Summary by Gas'!W32/VLOOKUP(StateID,Population!$A$3:$AF$54,'Gas Intensity'!W5-1988,FALSE))*1000),0,('Summary by Gas'!W32/VLOOKUP(StateID,Population!$A$3:$AF$54,'Gas Intensity'!W5-1988,FALSE))*1000)</f>
        <v>22.91463951192037</v>
      </c>
      <c r="X6" s="207">
        <f>IF(ISERROR(('Summary by Gas'!X32/VLOOKUP(StateID,Population!$A$3:$AF$54,'Gas Intensity'!X5-1988,FALSE))*1000),0,('Summary by Gas'!X32/VLOOKUP(StateID,Population!$A$3:$AF$54,'Gas Intensity'!X5-1988,FALSE))*1000)</f>
        <v>22.586457225752767</v>
      </c>
      <c r="Y6" s="207">
        <f>IF(ISERROR(('Summary by Gas'!Y32/VLOOKUP(StateID,Population!$A$3:$AF$54,'Gas Intensity'!Y5-1988,FALSE))*1000),0,('Summary by Gas'!Y32/VLOOKUP(StateID,Population!$A$3:$AF$54,'Gas Intensity'!Y5-1988,FALSE))*1000)</f>
        <v>21.357567590634762</v>
      </c>
      <c r="Z6" s="207">
        <f>IF(ISERROR(('Summary by Gas'!Z32/VLOOKUP(StateID,Population!$A$3:$AF$54,'Gas Intensity'!Z5-1988,FALSE))*1000),0,('Summary by Gas'!Z32/VLOOKUP(StateID,Population!$A$3:$AF$54,'Gas Intensity'!Z5-1988,FALSE))*1000)</f>
        <v>22.56829796025848</v>
      </c>
      <c r="AA6" s="207">
        <f>IF(ISERROR(('Summary by Gas'!AA32/VLOOKUP(StateID,Population!$A$3:$AF$54,'Gas Intensity'!AA5-1988,FALSE))*1000),0,('Summary by Gas'!AA32/VLOOKUP(StateID,Population!$A$3:$AF$54,'Gas Intensity'!AA5-1988,FALSE))*1000)</f>
        <v>22.927414561346286</v>
      </c>
      <c r="AB6" s="207">
        <f>IF(ISERROR(('Summary by Gas'!AB32/VLOOKUP(StateID,Population!$A$3:$AF$54,'Gas Intensity'!AB5-1988,FALSE))*1000),0,('Summary by Gas'!AB32/VLOOKUP(StateID,Population!$A$3:$AF$54,'Gas Intensity'!AB5-1988,FALSE))*1000)</f>
        <v>21.675543375981199</v>
      </c>
      <c r="AC6" s="207">
        <f>IF(ISERROR(('Summary by Gas'!AC32/VLOOKUP(StateID,Population!$A$3:$AF$54,'Gas Intensity'!AC5-1988,FALSE))*1000),0,('Summary by Gas'!AC32/VLOOKUP(StateID,Population!$A$3:$AF$54,'Gas Intensity'!AC5-1988,FALSE))*1000)</f>
        <v>20.778463493083354</v>
      </c>
      <c r="AD6" s="207">
        <f>IF(ISERROR(('Summary by Gas'!AD32/VLOOKUP(StateID,Population!$A$3:$AF$54,'Gas Intensity'!AD5-1988,FALSE))*1000),0,('Summary by Gas'!AD32/VLOOKUP(StateID,Population!$A$3:$AF$54,'Gas Intensity'!AD5-1988,FALSE))*1000)</f>
        <v>20.688935730050176</v>
      </c>
      <c r="AE6" s="207">
        <f>IF(ISERROR(('Summary by Gas'!AE32/VLOOKUP(StateID,Population!$A$3:$AF$54,'Gas Intensity'!AE5-1988,FALSE))*1000),0,('Summary by Gas'!AE32/VLOOKUP(StateID,Population!$A$3:$AF$54,'Gas Intensity'!AE5-1988,FALSE))*1000)</f>
        <v>21.345882357892652</v>
      </c>
      <c r="AF6" s="207">
        <f>IF(ISERROR(('Summary by Gas'!AF32/VLOOKUP(StateID,Population!$A$3:$AF$54,'Gas Intensity'!AF5-1988,FALSE))*1000),0,('Summary by Gas'!AF32/VLOOKUP(StateID,Population!$A$3:$AF$54,'Gas Intensity'!AF5-1988,FALSE))*1000)</f>
        <v>20.362989391854427</v>
      </c>
      <c r="AG6" s="207">
        <f>IF(ISERROR(('Summary by Gas'!AG32/VLOOKUP(StateID,Population!$A$3:$AK$54,'Gas Intensity'!AG5-1988,FALSE))*1000),0,('Summary by Gas'!AG32/VLOOKUP(StateID,Population!$A$3:$AK$54,'Gas Intensity'!AG5-1988,FALSE))*1000)</f>
        <v>17.755914588075463</v>
      </c>
      <c r="AH6" s="207">
        <f>IF(ISERROR(('Summary by Gas'!AH32/VLOOKUP(StateID,Population!$A$3:$AK$54,'Gas Intensity'!AH5-1988,FALSE))*1000),0,('Summary by Gas'!AH32/VLOOKUP(StateID,Population!$A$3:$AK$54,'Gas Intensity'!AH5-1988,FALSE))*1000)</f>
        <v>2.4943193983739111</v>
      </c>
      <c r="AI6" s="207">
        <f>IF(ISERROR(('Summary by Gas'!AI32/VLOOKUP(StateID,Population!$A$3:$AK$54,'Gas Intensity'!AI5-1988,FALSE))*1000),0,('Summary by Gas'!AI32/VLOOKUP(StateID,Population!$A$3:$AK$54,'Gas Intensity'!AI5-1988,FALSE))*1000)</f>
        <v>0.32974482087614876</v>
      </c>
      <c r="AJ6" s="207">
        <f>IF(ISERROR(('Summary by Gas'!AJ32/VLOOKUP(StateID,Population!$A$3:$AK$54,'Gas Intensity'!AJ5-1988,FALSE))*1000),0,('Summary by Gas'!AJ32/VLOOKUP(StateID,Population!$A$3:$AK$54,'Gas Intensity'!AJ5-1988,FALSE))*1000)</f>
        <v>2.6079630143116216E-2</v>
      </c>
      <c r="AK6" s="207">
        <f>IF(ISERROR(('Summary by Gas'!AK32/VLOOKUP(StateID,Population!$A$3:$AK$54,'Gas Intensity'!AK5-1988,FALSE))*1000),0,('Summary by Gas'!AK32/VLOOKUP(StateID,Population!$A$3:$AK$54,'Gas Intensity'!AK5-1988,FALSE))*1000)</f>
        <v>2.5636640665294211E-2</v>
      </c>
      <c r="AL6" s="207">
        <f>IF(ISERROR(('Summary by Gas'!AL32/VLOOKUP(StateID,Population!$A$3:$AK$54,'Gas Intensity'!AL5-1988,FALSE))*1000),0,('Summary by Gas'!AL32/VLOOKUP(StateID,Population!$A$3:$AK$54,'Gas Intensity'!AL5-1988,FALSE))*1000)</f>
        <v>2.5221937937896777E-2</v>
      </c>
    </row>
    <row r="7" spans="1:38" s="121" customFormat="1" ht="16" thickBot="1">
      <c r="B7" s="262" t="s">
        <v>248</v>
      </c>
      <c r="C7" s="263">
        <f>IF(ISERROR(('Summary by Gas'!C34/VLOOKUP(StateID,Population!$A$3:$AF$54,'Gas Intensity'!C5-1988,FALSE))*1000),0,('Summary by Gas'!C34/VLOOKUP(StateID,Population!$A$3:$AF$54,'Gas Intensity'!C5-1988,FALSE))*1000)</f>
        <v>20.200258502805621</v>
      </c>
      <c r="D7" s="263">
        <f>IF(ISERROR(('Summary by Gas'!D34/VLOOKUP(StateID,Population!$A$3:$AF$54,'Gas Intensity'!D5-1988,FALSE))*1000),0,('Summary by Gas'!D34/VLOOKUP(StateID,Population!$A$3:$AF$54,'Gas Intensity'!D5-1988,FALSE))*1000)</f>
        <v>19.74814336338012</v>
      </c>
      <c r="E7" s="263">
        <f>IF(ISERROR(('Summary by Gas'!E34/VLOOKUP(StateID,Population!$A$3:$AF$54,'Gas Intensity'!E5-1988,FALSE))*1000),0,('Summary by Gas'!E34/VLOOKUP(StateID,Population!$A$3:$AF$54,'Gas Intensity'!E5-1988,FALSE))*1000)</f>
        <v>19.542805755235911</v>
      </c>
      <c r="F7" s="263">
        <f>IF(ISERROR(('Summary by Gas'!F34/VLOOKUP(StateID,Population!$A$3:$AF$54,'Gas Intensity'!F5-1988,FALSE))*1000),0,('Summary by Gas'!F34/VLOOKUP(StateID,Population!$A$3:$AF$54,'Gas Intensity'!F5-1988,FALSE))*1000)</f>
        <v>20.986518855860304</v>
      </c>
      <c r="G7" s="263">
        <f>IF(ISERROR(('Summary by Gas'!G34/VLOOKUP(StateID,Population!$A$3:$AF$54,'Gas Intensity'!G5-1988,FALSE))*1000),0,('Summary by Gas'!G34/VLOOKUP(StateID,Population!$A$3:$AF$54,'Gas Intensity'!G5-1988,FALSE))*1000)</f>
        <v>20.666863254831085</v>
      </c>
      <c r="H7" s="263">
        <f>IF(ISERROR(('Summary by Gas'!H34/VLOOKUP(StateID,Population!$A$3:$AF$54,'Gas Intensity'!H5-1988,FALSE))*1000),0,('Summary by Gas'!H34/VLOOKUP(StateID,Population!$A$3:$AF$54,'Gas Intensity'!H5-1988,FALSE))*1000)</f>
        <v>21.075283398873118</v>
      </c>
      <c r="I7" s="263">
        <f>IF(ISERROR(('Summary by Gas'!I34/VLOOKUP(StateID,Population!$A$3:$AF$54,'Gas Intensity'!I5-1988,FALSE))*1000),0,('Summary by Gas'!I34/VLOOKUP(StateID,Population!$A$3:$AF$54,'Gas Intensity'!I5-1988,FALSE))*1000)</f>
        <v>21.933420023530545</v>
      </c>
      <c r="J7" s="263">
        <f>IF(ISERROR(('Summary by Gas'!J34/VLOOKUP(StateID,Population!$A$3:$AF$54,'Gas Intensity'!J5-1988,FALSE))*1000),0,('Summary by Gas'!J34/VLOOKUP(StateID,Population!$A$3:$AF$54,'Gas Intensity'!J5-1988,FALSE))*1000)</f>
        <v>22.475739620128241</v>
      </c>
      <c r="K7" s="263">
        <f>IF(ISERROR(('Summary by Gas'!K34/VLOOKUP(StateID,Population!$A$3:$AF$54,'Gas Intensity'!K5-1988,FALSE))*1000),0,('Summary by Gas'!K34/VLOOKUP(StateID,Population!$A$3:$AF$54,'Gas Intensity'!K5-1988,FALSE))*1000)</f>
        <v>21.731163871048199</v>
      </c>
      <c r="L7" s="263">
        <f>IF(ISERROR(('Summary by Gas'!L34/VLOOKUP(StateID,Population!$A$3:$AF$54,'Gas Intensity'!L5-1988,FALSE))*1000),0,('Summary by Gas'!L34/VLOOKUP(StateID,Population!$A$3:$AF$54,'Gas Intensity'!L5-1988,FALSE))*1000)</f>
        <v>22.157414392182233</v>
      </c>
      <c r="M7" s="263">
        <f>IF(ISERROR(('Summary by Gas'!M34/VLOOKUP(StateID,Population!$A$3:$AF$54,'Gas Intensity'!M5-1988,FALSE))*1000),0,('Summary by Gas'!M34/VLOOKUP(StateID,Population!$A$3:$AF$54,'Gas Intensity'!M5-1988,FALSE))*1000)</f>
        <v>22.350297939128705</v>
      </c>
      <c r="N7" s="263">
        <f>IF(ISERROR(('Summary by Gas'!N34/VLOOKUP(StateID,Population!$A$3:$AF$54,'Gas Intensity'!N5-1988,FALSE))*1000),0,('Summary by Gas'!N34/VLOOKUP(StateID,Population!$A$3:$AF$54,'Gas Intensity'!N5-1988,FALSE))*1000)</f>
        <v>20.966628520479549</v>
      </c>
      <c r="O7" s="263">
        <f>IF(ISERROR(('Summary by Gas'!O34/VLOOKUP(StateID,Population!$A$3:$AF$54,'Gas Intensity'!O5-1988,FALSE))*1000),0,('Summary by Gas'!O34/VLOOKUP(StateID,Population!$A$3:$AF$54,'Gas Intensity'!O5-1988,FALSE))*1000)</f>
        <v>21.397712535697487</v>
      </c>
      <c r="P7" s="263">
        <f>IF(ISERROR(('Summary by Gas'!P34/VLOOKUP(StateID,Population!$A$3:$AF$54,'Gas Intensity'!P5-1988,FALSE))*1000),0,('Summary by Gas'!P34/VLOOKUP(StateID,Population!$A$3:$AF$54,'Gas Intensity'!P5-1988,FALSE))*1000)</f>
        <v>21.888049160588452</v>
      </c>
      <c r="Q7" s="263">
        <f>IF(ISERROR(('Summary by Gas'!Q34/VLOOKUP(StateID,Population!$A$3:$AF$54,'Gas Intensity'!Q5-1988,FALSE))*1000),0,('Summary by Gas'!Q34/VLOOKUP(StateID,Population!$A$3:$AF$54,'Gas Intensity'!Q5-1988,FALSE))*1000)</f>
        <v>22.292123882767282</v>
      </c>
      <c r="R7" s="263">
        <f>IF(ISERROR(('Summary by Gas'!R34/VLOOKUP(StateID,Population!$A$3:$AF$54,'Gas Intensity'!R5-1988,FALSE))*1000),0,('Summary by Gas'!R34/VLOOKUP(StateID,Population!$A$3:$AF$54,'Gas Intensity'!R5-1988,FALSE))*1000)</f>
        <v>22.496427348698472</v>
      </c>
      <c r="S7" s="263">
        <f>IF(ISERROR(('Summary by Gas'!S34/VLOOKUP(StateID,Population!$A$3:$AF$54,'Gas Intensity'!S5-1988,FALSE))*1000),0,('Summary by Gas'!S34/VLOOKUP(StateID,Population!$A$3:$AF$54,'Gas Intensity'!S5-1988,FALSE))*1000)</f>
        <v>22.37309982402579</v>
      </c>
      <c r="T7" s="263">
        <f>IF(ISERROR(('Summary by Gas'!T34/VLOOKUP(StateID,Population!$A$3:$AF$54,'Gas Intensity'!T5-1988,FALSE))*1000),0,('Summary by Gas'!T34/VLOOKUP(StateID,Population!$A$3:$AF$54,'Gas Intensity'!T5-1988,FALSE))*1000)</f>
        <v>22.486101184736601</v>
      </c>
      <c r="U7" s="263">
        <f>IF(ISERROR(('Summary by Gas'!U34/VLOOKUP(StateID,Population!$A$3:$AF$54,'Gas Intensity'!U5-1988,FALSE))*1000),0,('Summary by Gas'!U34/VLOOKUP(StateID,Population!$A$3:$AF$54,'Gas Intensity'!U5-1988,FALSE))*1000)</f>
        <v>22.645577482320988</v>
      </c>
      <c r="V7" s="263">
        <f>IF(ISERROR(('Summary by Gas'!V34/VLOOKUP(StateID,Population!$A$3:$AF$54,'Gas Intensity'!V5-1988,FALSE))*1000),0,('Summary by Gas'!V34/VLOOKUP(StateID,Population!$A$3:$AF$54,'Gas Intensity'!V5-1988,FALSE))*1000)</f>
        <v>20.906782475920259</v>
      </c>
      <c r="W7" s="263">
        <f>IF(ISERROR(('Summary by Gas'!W34/VLOOKUP(StateID,Population!$A$3:$AF$54,'Gas Intensity'!W5-1988,FALSE))*1000),0,('Summary by Gas'!W34/VLOOKUP(StateID,Population!$A$3:$AF$54,'Gas Intensity'!W5-1988,FALSE))*1000)</f>
        <v>21.782827515223776</v>
      </c>
      <c r="X7" s="263">
        <f>IF(ISERROR(('Summary by Gas'!X34/VLOOKUP(StateID,Population!$A$3:$AF$54,'Gas Intensity'!X5-1988,FALSE))*1000),0,('Summary by Gas'!X34/VLOOKUP(StateID,Population!$A$3:$AF$54,'Gas Intensity'!X5-1988,FALSE))*1000)</f>
        <v>21.105049876827206</v>
      </c>
      <c r="Y7" s="263">
        <f>IF(ISERROR(('Summary by Gas'!Y34/VLOOKUP(StateID,Population!$A$3:$AF$54,'Gas Intensity'!Y5-1988,FALSE))*1000),0,('Summary by Gas'!Y34/VLOOKUP(StateID,Population!$A$3:$AF$54,'Gas Intensity'!Y5-1988,FALSE))*1000)</f>
        <v>20.018658724183872</v>
      </c>
      <c r="Z7" s="263">
        <f>IF(ISERROR(('Summary by Gas'!Z34/VLOOKUP(StateID,Population!$A$3:$AF$54,'Gas Intensity'!Z5-1988,FALSE))*1000),0,('Summary by Gas'!Z34/VLOOKUP(StateID,Population!$A$3:$AF$54,'Gas Intensity'!Z5-1988,FALSE))*1000)</f>
        <v>21.617460965912414</v>
      </c>
      <c r="AA7" s="263">
        <f>IF(ISERROR(('Summary by Gas'!AA34/VLOOKUP(StateID,Population!$A$3:$AF$54,'Gas Intensity'!AA5-1988,FALSE))*1000),0,('Summary by Gas'!AA34/VLOOKUP(StateID,Population!$A$3:$AF$54,'Gas Intensity'!AA5-1988,FALSE))*1000)</f>
        <v>21.748540996837242</v>
      </c>
      <c r="AB7" s="263">
        <f>IF(ISERROR(('Summary by Gas'!AB34/VLOOKUP(StateID,Population!$A$3:$AF$54,'Gas Intensity'!AB5-1988,FALSE))*1000),0,('Summary by Gas'!AB34/VLOOKUP(StateID,Population!$A$3:$AF$54,'Gas Intensity'!AB5-1988,FALSE))*1000)</f>
        <v>20.424016834499785</v>
      </c>
      <c r="AC7" s="263">
        <f>IF(ISERROR(('Summary by Gas'!AC34/VLOOKUP(StateID,Population!$A$3:$AF$54,'Gas Intensity'!AC5-1988,FALSE))*1000),0,('Summary by Gas'!AC34/VLOOKUP(StateID,Population!$A$3:$AF$54,'Gas Intensity'!AC5-1988,FALSE))*1000)</f>
        <v>19.542726553644588</v>
      </c>
      <c r="AD7" s="263">
        <f>IF(ISERROR(('Summary by Gas'!AD34/VLOOKUP(StateID,Population!$A$3:$AF$54,'Gas Intensity'!AD5-1988,FALSE))*1000),0,('Summary by Gas'!AD34/VLOOKUP(StateID,Population!$A$3:$AF$54,'Gas Intensity'!AD5-1988,FALSE))*1000)</f>
        <v>19.452347192266874</v>
      </c>
      <c r="AE7" s="263">
        <f>IF(ISERROR(('Summary by Gas'!AE34/VLOOKUP(StateID,Population!$A$3:$AF$54,'Gas Intensity'!AE5-1988,FALSE))*1000),0,('Summary by Gas'!AE34/VLOOKUP(StateID,Population!$A$3:$AF$54,'Gas Intensity'!AE5-1988,FALSE))*1000)</f>
        <v>20.164089315666487</v>
      </c>
      <c r="AF7" s="263">
        <f>IF(ISERROR(('Summary by Gas'!AF34/VLOOKUP(StateID,Population!$A$3:$AF$54,'Gas Intensity'!AF5-1988,FALSE))*1000),0,('Summary by Gas'!AF34/VLOOKUP(StateID,Population!$A$3:$AF$54,'Gas Intensity'!AF5-1988,FALSE))*1000)</f>
        <v>19.203592738021207</v>
      </c>
      <c r="AG7" s="263">
        <f>IF(ISERROR(('Summary by Gas'!AG34/VLOOKUP(StateID,Population!$A$3:$AK$54,'Gas Intensity'!AG5-1988,FALSE))*1000),0,('Summary by Gas'!AG34/VLOOKUP(StateID,Population!$A$3:$AK$54,'Gas Intensity'!AG5-1988,FALSE))*1000)</f>
        <v>16.490315525750511</v>
      </c>
      <c r="AH7" s="263">
        <f>IF(ISERROR(('Summary by Gas'!AH34/VLOOKUP(StateID,Population!$A$3:$AK$54,'Gas Intensity'!AH5-1988,FALSE))*1000),0,('Summary by Gas'!AH34/VLOOKUP(StateID,Population!$A$3:$AK$54,'Gas Intensity'!AH5-1988,FALSE))*1000)</f>
        <v>2.4943193983739111</v>
      </c>
      <c r="AI7" s="263">
        <f>IF(ISERROR(('Summary by Gas'!AI34/VLOOKUP(StateID,Population!$A$3:$AK$54,'Gas Intensity'!AI5-1988,FALSE))*1000),0,('Summary by Gas'!AI34/VLOOKUP(StateID,Population!$A$3:$AK$54,'Gas Intensity'!AI5-1988,FALSE))*1000)</f>
        <v>0.32974482087614876</v>
      </c>
      <c r="AJ7" s="263">
        <f>IF(ISERROR(('Summary by Gas'!AJ34/VLOOKUP(StateID,Population!$A$3:$AK$54,'Gas Intensity'!AJ5-1988,FALSE))*1000),0,('Summary by Gas'!AJ34/VLOOKUP(StateID,Population!$A$3:$AK$54,'Gas Intensity'!AJ5-1988,FALSE))*1000)</f>
        <v>2.6079630143116216E-2</v>
      </c>
      <c r="AK7" s="263">
        <f>IF(ISERROR(('Summary by Gas'!AK34/VLOOKUP(StateID,Population!$A$3:$AK$54,'Gas Intensity'!AK5-1988,FALSE))*1000),0,('Summary by Gas'!AK34/VLOOKUP(StateID,Population!$A$3:$AK$54,'Gas Intensity'!AK5-1988,FALSE))*1000)</f>
        <v>2.5636640665294211E-2</v>
      </c>
      <c r="AL7" s="263">
        <f>IF(ISERROR(('Summary by Gas'!AL34/VLOOKUP(StateID,Population!$A$3:$AK$54,'Gas Intensity'!AL5-1988,FALSE))*1000),0,('Summary by Gas'!AL34/VLOOKUP(StateID,Population!$A$3:$AK$54,'Gas Intensity'!AL5-1988,FALSE))*1000)</f>
        <v>2.5221937937896777E-2</v>
      </c>
    </row>
    <row r="8" spans="1:38" s="283" customFormat="1" ht="15.5" hidden="1">
      <c r="B8" s="276"/>
      <c r="C8" s="276">
        <v>1</v>
      </c>
      <c r="D8" s="283">
        <f>IF(D5&lt;=$B9,C8+1,0)</f>
        <v>2</v>
      </c>
      <c r="E8" s="283">
        <f t="shared" ref="E8:AL8" si="0">IF(E5&lt;=$B9,D8+1,0)</f>
        <v>3</v>
      </c>
      <c r="F8" s="283">
        <f t="shared" si="0"/>
        <v>4</v>
      </c>
      <c r="G8" s="283">
        <f t="shared" si="0"/>
        <v>5</v>
      </c>
      <c r="H8" s="283">
        <f t="shared" si="0"/>
        <v>6</v>
      </c>
      <c r="I8" s="283">
        <f t="shared" si="0"/>
        <v>7</v>
      </c>
      <c r="J8" s="283">
        <f t="shared" si="0"/>
        <v>8</v>
      </c>
      <c r="K8" s="283">
        <f t="shared" si="0"/>
        <v>9</v>
      </c>
      <c r="L8" s="283">
        <f t="shared" si="0"/>
        <v>10</v>
      </c>
      <c r="M8" s="283">
        <f t="shared" si="0"/>
        <v>11</v>
      </c>
      <c r="N8" s="283">
        <f t="shared" si="0"/>
        <v>12</v>
      </c>
      <c r="O8" s="283">
        <f t="shared" si="0"/>
        <v>13</v>
      </c>
      <c r="P8" s="283">
        <f t="shared" si="0"/>
        <v>14</v>
      </c>
      <c r="Q8" s="283">
        <f t="shared" si="0"/>
        <v>15</v>
      </c>
      <c r="R8" s="283">
        <f t="shared" si="0"/>
        <v>16</v>
      </c>
      <c r="S8" s="283">
        <f t="shared" si="0"/>
        <v>17</v>
      </c>
      <c r="T8" s="283">
        <f t="shared" si="0"/>
        <v>18</v>
      </c>
      <c r="U8" s="283">
        <f t="shared" si="0"/>
        <v>19</v>
      </c>
      <c r="V8" s="283">
        <f t="shared" si="0"/>
        <v>20</v>
      </c>
      <c r="W8" s="283">
        <f t="shared" si="0"/>
        <v>21</v>
      </c>
      <c r="X8" s="283">
        <f t="shared" si="0"/>
        <v>22</v>
      </c>
      <c r="Y8" s="283">
        <f t="shared" si="0"/>
        <v>23</v>
      </c>
      <c r="Z8" s="283">
        <f t="shared" si="0"/>
        <v>24</v>
      </c>
      <c r="AA8" s="283">
        <f t="shared" si="0"/>
        <v>25</v>
      </c>
      <c r="AB8" s="283">
        <f t="shared" si="0"/>
        <v>26</v>
      </c>
      <c r="AC8" s="283">
        <f t="shared" si="0"/>
        <v>27</v>
      </c>
      <c r="AD8" s="283">
        <f t="shared" si="0"/>
        <v>28</v>
      </c>
      <c r="AE8" s="283">
        <f t="shared" si="0"/>
        <v>29</v>
      </c>
      <c r="AF8" s="283">
        <f t="shared" si="0"/>
        <v>30</v>
      </c>
      <c r="AG8" s="283">
        <f t="shared" si="0"/>
        <v>31</v>
      </c>
      <c r="AH8" s="283">
        <f t="shared" si="0"/>
        <v>32</v>
      </c>
      <c r="AI8" s="283">
        <f t="shared" si="0"/>
        <v>33</v>
      </c>
      <c r="AJ8" s="283">
        <f t="shared" si="0"/>
        <v>34</v>
      </c>
      <c r="AK8" s="283">
        <f t="shared" si="0"/>
        <v>35</v>
      </c>
      <c r="AL8" s="283">
        <f t="shared" si="0"/>
        <v>36</v>
      </c>
    </row>
    <row r="9" spans="1:38" s="279" customFormat="1">
      <c r="B9" s="279">
        <f>MAX(C9:AL9)</f>
        <v>2025</v>
      </c>
      <c r="C9" s="279">
        <f>1990</f>
        <v>1990</v>
      </c>
      <c r="D9" s="279">
        <f>IF(D6=0,0,D5)</f>
        <v>1991</v>
      </c>
      <c r="E9" s="279">
        <f t="shared" ref="E9:AL9" si="1">IF(E6=0,0,E5)</f>
        <v>1992</v>
      </c>
      <c r="F9" s="279">
        <f t="shared" si="1"/>
        <v>1993</v>
      </c>
      <c r="G9" s="279">
        <f t="shared" si="1"/>
        <v>1994</v>
      </c>
      <c r="H9" s="279">
        <f t="shared" si="1"/>
        <v>1995</v>
      </c>
      <c r="I9" s="279">
        <f t="shared" si="1"/>
        <v>1996</v>
      </c>
      <c r="J9" s="279">
        <f t="shared" si="1"/>
        <v>1997</v>
      </c>
      <c r="K9" s="279">
        <f t="shared" si="1"/>
        <v>1998</v>
      </c>
      <c r="L9" s="279">
        <f t="shared" si="1"/>
        <v>1999</v>
      </c>
      <c r="M9" s="279">
        <f t="shared" si="1"/>
        <v>2000</v>
      </c>
      <c r="N9" s="279">
        <f t="shared" si="1"/>
        <v>2001</v>
      </c>
      <c r="O9" s="279">
        <f t="shared" si="1"/>
        <v>2002</v>
      </c>
      <c r="P9" s="279">
        <f t="shared" si="1"/>
        <v>2003</v>
      </c>
      <c r="Q9" s="279">
        <f t="shared" si="1"/>
        <v>2004</v>
      </c>
      <c r="R9" s="279">
        <f t="shared" si="1"/>
        <v>2005</v>
      </c>
      <c r="S9" s="279">
        <f t="shared" si="1"/>
        <v>2006</v>
      </c>
      <c r="T9" s="279">
        <f t="shared" si="1"/>
        <v>2007</v>
      </c>
      <c r="U9" s="279">
        <f t="shared" si="1"/>
        <v>2008</v>
      </c>
      <c r="V9" s="279">
        <f t="shared" si="1"/>
        <v>2009</v>
      </c>
      <c r="W9" s="279">
        <f t="shared" si="1"/>
        <v>2010</v>
      </c>
      <c r="X9" s="279">
        <f t="shared" si="1"/>
        <v>2011</v>
      </c>
      <c r="Y9" s="279">
        <f t="shared" si="1"/>
        <v>2012</v>
      </c>
      <c r="Z9" s="279">
        <f t="shared" si="1"/>
        <v>2013</v>
      </c>
      <c r="AA9" s="279">
        <f t="shared" si="1"/>
        <v>2014</v>
      </c>
      <c r="AB9" s="279">
        <f t="shared" si="1"/>
        <v>2015</v>
      </c>
      <c r="AC9" s="279">
        <f t="shared" si="1"/>
        <v>2016</v>
      </c>
      <c r="AD9" s="279">
        <f t="shared" si="1"/>
        <v>2017</v>
      </c>
      <c r="AE9" s="279">
        <f t="shared" si="1"/>
        <v>2018</v>
      </c>
      <c r="AF9" s="279">
        <f t="shared" si="1"/>
        <v>2019</v>
      </c>
      <c r="AG9" s="279">
        <f t="shared" si="1"/>
        <v>2020</v>
      </c>
      <c r="AH9" s="279">
        <f t="shared" si="1"/>
        <v>2021</v>
      </c>
      <c r="AI9" s="279">
        <f t="shared" si="1"/>
        <v>2022</v>
      </c>
      <c r="AJ9" s="279">
        <f t="shared" si="1"/>
        <v>2023</v>
      </c>
      <c r="AK9" s="279">
        <f t="shared" si="1"/>
        <v>2024</v>
      </c>
      <c r="AL9" s="279">
        <f t="shared" si="1"/>
        <v>2025</v>
      </c>
    </row>
    <row r="10" spans="1:38" ht="27.5" thickBot="1">
      <c r="B10" s="179" t="s">
        <v>249</v>
      </c>
      <c r="C10" s="123">
        <v>1990</v>
      </c>
      <c r="D10" s="123">
        <v>1991</v>
      </c>
      <c r="E10" s="123">
        <v>1992</v>
      </c>
      <c r="F10" s="123">
        <v>1993</v>
      </c>
      <c r="G10" s="123">
        <v>1994</v>
      </c>
      <c r="H10" s="123">
        <v>1995</v>
      </c>
      <c r="I10" s="123">
        <v>1996</v>
      </c>
      <c r="J10" s="123">
        <v>1997</v>
      </c>
      <c r="K10" s="123">
        <v>1998</v>
      </c>
      <c r="L10" s="123">
        <v>1999</v>
      </c>
      <c r="M10" s="123">
        <v>2000</v>
      </c>
      <c r="N10" s="123">
        <v>2001</v>
      </c>
      <c r="O10" s="123">
        <v>2002</v>
      </c>
      <c r="P10" s="123">
        <v>2003</v>
      </c>
      <c r="Q10" s="123">
        <v>2004</v>
      </c>
      <c r="R10" s="123">
        <v>2005</v>
      </c>
      <c r="S10" s="123">
        <v>2006</v>
      </c>
      <c r="T10" s="123">
        <v>2007</v>
      </c>
      <c r="U10" s="123">
        <v>2008</v>
      </c>
      <c r="V10" s="123">
        <v>2009</v>
      </c>
      <c r="W10" s="123">
        <v>2010</v>
      </c>
      <c r="X10" s="123">
        <v>2011</v>
      </c>
      <c r="Y10" s="123">
        <v>2012</v>
      </c>
      <c r="Z10" s="123">
        <v>2013</v>
      </c>
      <c r="AA10" s="123">
        <v>2014</v>
      </c>
      <c r="AB10" s="123">
        <v>2015</v>
      </c>
      <c r="AC10" s="123">
        <v>2016</v>
      </c>
      <c r="AD10" s="123">
        <v>2017</v>
      </c>
      <c r="AE10" s="123">
        <v>2018</v>
      </c>
      <c r="AF10" s="123">
        <v>2019</v>
      </c>
      <c r="AG10" s="123">
        <v>2020</v>
      </c>
      <c r="AH10" s="123">
        <v>2021</v>
      </c>
      <c r="AI10" s="123">
        <v>2022</v>
      </c>
      <c r="AJ10" s="123">
        <v>2023</v>
      </c>
      <c r="AK10" s="123">
        <v>2024</v>
      </c>
      <c r="AL10" s="123">
        <v>2025</v>
      </c>
    </row>
    <row r="11" spans="1:38" s="121" customFormat="1" ht="15.5">
      <c r="A11" s="122"/>
      <c r="B11" s="264" t="s">
        <v>247</v>
      </c>
      <c r="C11" s="265">
        <f>IF(ISERROR(('Summary by Gas'!C32/VLOOKUP(StateID,'GSP from BEA'!$A$3:$AF$54,'Gas Intensity'!C10-1988,FALSE))*1000000),0,('Summary by Gas'!C32/VLOOKUP(StateID,'GSP from BEA'!$A$3:$AF$54,'Gas Intensity'!C10-1988,FALSE))*1000000)</f>
        <v>879.5541695899874</v>
      </c>
      <c r="D11" s="265">
        <f>IF(ISERROR(('Summary by Gas'!D32/VLOOKUP(StateID,'GSP from BEA'!$A$3:$AF$54,'Gas Intensity'!D10-1988,FALSE))*1000000),0,('Summary by Gas'!D32/VLOOKUP(StateID,'GSP from BEA'!$A$3:$AF$54,'Gas Intensity'!D10-1988,FALSE))*1000000)</f>
        <v>845.76950007787048</v>
      </c>
      <c r="E11" s="265">
        <f>IF(ISERROR(('Summary by Gas'!E32/VLOOKUP(StateID,'GSP from BEA'!$A$3:$AF$54,'Gas Intensity'!E10-1988,FALSE))*1000000),0,('Summary by Gas'!E32/VLOOKUP(StateID,'GSP from BEA'!$A$3:$AF$54,'Gas Intensity'!E10-1988,FALSE))*1000000)</f>
        <v>789.85996841278688</v>
      </c>
      <c r="F11" s="265">
        <f>IF(ISERROR(('Summary by Gas'!F32/VLOOKUP(StateID,'GSP from BEA'!$A$3:$AF$54,'Gas Intensity'!F10-1988,FALSE))*1000000),0,('Summary by Gas'!F32/VLOOKUP(StateID,'GSP from BEA'!$A$3:$AF$54,'Gas Intensity'!F10-1988,FALSE))*1000000)</f>
        <v>806.65502633567314</v>
      </c>
      <c r="G11" s="265">
        <f>IF(ISERROR(('Summary by Gas'!G32/VLOOKUP(StateID,'GSP from BEA'!$A$3:$AF$54,'Gas Intensity'!G10-1988,FALSE))*1000000),0,('Summary by Gas'!G32/VLOOKUP(StateID,'GSP from BEA'!$A$3:$AF$54,'Gas Intensity'!G10-1988,FALSE))*1000000)</f>
        <v>749.12239520552077</v>
      </c>
      <c r="H11" s="265">
        <f>IF(ISERROR(('Summary by Gas'!H32/VLOOKUP(StateID,'GSP from BEA'!$A$3:$AF$54,'Gas Intensity'!H10-1988,FALSE))*1000000),0,('Summary by Gas'!H32/VLOOKUP(StateID,'GSP from BEA'!$A$3:$AF$54,'Gas Intensity'!H10-1988,FALSE))*1000000)</f>
        <v>726.09750621959824</v>
      </c>
      <c r="I11" s="265">
        <f>IF(ISERROR(('Summary by Gas'!I32/VLOOKUP(StateID,'GSP from BEA'!$A$3:$AF$54,'Gas Intensity'!I10-1988,FALSE))*1000000),0,('Summary by Gas'!I32/VLOOKUP(StateID,'GSP from BEA'!$A$3:$AF$54,'Gas Intensity'!I10-1988,FALSE))*1000000)</f>
        <v>729.97601783142341</v>
      </c>
      <c r="J11" s="265">
        <f>IF(ISERROR(('Summary by Gas'!J32/VLOOKUP(StateID,'GSP from BEA'!$A$3:$AF$54,'Gas Intensity'!J10-1988,FALSE))*1000000),0,('Summary by Gas'!J32/VLOOKUP(StateID,'GSP from BEA'!$A$3:$AF$54,'Gas Intensity'!J10-1988,FALSE))*1000000)</f>
        <v>690.93333280435161</v>
      </c>
      <c r="K11" s="265">
        <f>IF(ISERROR(('Summary by Gas'!K32/VLOOKUP(StateID,'GSP from BEA'!$A$3:$AF$54,'Gas Intensity'!K10-1988,FALSE))*1000000),0,('Summary by Gas'!K32/VLOOKUP(StateID,'GSP from BEA'!$A$3:$AF$54,'Gas Intensity'!K10-1988,FALSE))*1000000)</f>
        <v>636.85524844898816</v>
      </c>
      <c r="L11" s="265">
        <f>IF(ISERROR(('Summary by Gas'!L32/VLOOKUP(StateID,'GSP from BEA'!$A$3:$AF$54,'Gas Intensity'!L10-1988,FALSE))*1000000),0,('Summary by Gas'!L32/VLOOKUP(StateID,'GSP from BEA'!$A$3:$AF$54,'Gas Intensity'!L10-1988,FALSE))*1000000)</f>
        <v>625.28012406760183</v>
      </c>
      <c r="M11" s="265">
        <f>IF(ISERROR(('Summary by Gas'!M32/VLOOKUP(StateID,'GSP from BEA'!$A$3:$AF$54,'Gas Intensity'!M10-1988,FALSE))*1000000),0,('Summary by Gas'!M32/VLOOKUP(StateID,'GSP from BEA'!$A$3:$AF$54,'Gas Intensity'!M10-1988,FALSE))*1000000)</f>
        <v>601.18784296316801</v>
      </c>
      <c r="N11" s="265">
        <f>IF(ISERROR(('Summary by Gas'!N32/VLOOKUP(StateID,'GSP from BEA'!$A$3:$AF$54,'Gas Intensity'!N10-1988,FALSE))*1000000),0,('Summary by Gas'!N32/VLOOKUP(StateID,'GSP from BEA'!$A$3:$AF$54,'Gas Intensity'!N10-1988,FALSE))*1000000)</f>
        <v>556.84943402362433</v>
      </c>
      <c r="O11" s="265">
        <f>IF(ISERROR(('Summary by Gas'!O32/VLOOKUP(StateID,'GSP from BEA'!$A$3:$AF$54,'Gas Intensity'!O10-1988,FALSE))*1000000),0,('Summary by Gas'!O32/VLOOKUP(StateID,'GSP from BEA'!$A$3:$AF$54,'Gas Intensity'!O10-1988,FALSE))*1000000)</f>
        <v>554.17806332121677</v>
      </c>
      <c r="P11" s="265">
        <f>IF(ISERROR(('Summary by Gas'!P32/VLOOKUP(StateID,'GSP from BEA'!$A$3:$AF$54,'Gas Intensity'!P10-1988,FALSE))*1000000),0,('Summary by Gas'!P32/VLOOKUP(StateID,'GSP from BEA'!$A$3:$AF$54,'Gas Intensity'!P10-1988,FALSE))*1000000)</f>
        <v>544.2517596011262</v>
      </c>
      <c r="Q11" s="265">
        <f>IF(ISERROR(('Summary by Gas'!Q32/VLOOKUP(StateID,'GSP from BEA'!$A$3:$AF$54,'Gas Intensity'!Q10-1988,FALSE))*1000000),0,('Summary by Gas'!Q32/VLOOKUP(StateID,'GSP from BEA'!$A$3:$AF$54,'Gas Intensity'!Q10-1988,FALSE))*1000000)</f>
        <v>527.65330553982756</v>
      </c>
      <c r="R11" s="265">
        <f>IF(ISERROR(('Summary by Gas'!R32/VLOOKUP(StateID,'GSP from BEA'!$A$3:$AF$54,'Gas Intensity'!R10-1988,FALSE))*1000000),0,('Summary by Gas'!R32/VLOOKUP(StateID,'GSP from BEA'!$A$3:$AF$54,'Gas Intensity'!R10-1988,FALSE))*1000000)</f>
        <v>512.2489896442288</v>
      </c>
      <c r="S11" s="265">
        <f>IF(ISERROR(('Summary by Gas'!S32/VLOOKUP(StateID,'GSP from BEA'!$A$3:$AF$54,'Gas Intensity'!S10-1988,FALSE))*1000000),0,('Summary by Gas'!S32/VLOOKUP(StateID,'GSP from BEA'!$A$3:$AF$54,'Gas Intensity'!S10-1988,FALSE))*1000000)</f>
        <v>475.83765216129854</v>
      </c>
      <c r="T11" s="265">
        <f>IF(ISERROR(('Summary by Gas'!T32/VLOOKUP(StateID,'GSP from BEA'!$A$3:$AF$54,'Gas Intensity'!T10-1988,FALSE))*1000000),0,('Summary by Gas'!T32/VLOOKUP(StateID,'GSP from BEA'!$A$3:$AF$54,'Gas Intensity'!T10-1988,FALSE))*1000000)</f>
        <v>465.36953734481875</v>
      </c>
      <c r="U11" s="265">
        <f>IF(ISERROR(('Summary by Gas'!U32/VLOOKUP(StateID,'GSP from BEA'!$A$3:$AF$54,'Gas Intensity'!U10-1988,FALSE))*1000000),0,('Summary by Gas'!U32/VLOOKUP(StateID,'GSP from BEA'!$A$3:$AF$54,'Gas Intensity'!U10-1988,FALSE))*1000000)</f>
        <v>463.99419863070142</v>
      </c>
      <c r="V11" s="265">
        <f>IF(ISERROR(('Summary by Gas'!V32/VLOOKUP(StateID,'GSP from BEA'!$A$3:$AF$54,'Gas Intensity'!V10-1988,FALSE))*1000000),0,('Summary by Gas'!V32/VLOOKUP(StateID,'GSP from BEA'!$A$3:$AF$54,'Gas Intensity'!V10-1988,FALSE))*1000000)</f>
        <v>433.76701546521036</v>
      </c>
      <c r="W11" s="265">
        <f>IF(ISERROR(('Summary by Gas'!W32/VLOOKUP(StateID,'GSP from BEA'!$A$3:$AF$54,'Gas Intensity'!W10-1988,FALSE))*1000000),0,('Summary by Gas'!W32/VLOOKUP(StateID,'GSP from BEA'!$A$3:$AF$54,'Gas Intensity'!W10-1988,FALSE))*1000000)</f>
        <v>441.52812196369462</v>
      </c>
      <c r="X11" s="265">
        <f>IF(ISERROR(('Summary by Gas'!X32/VLOOKUP(StateID,'GSP from BEA'!$A$3:$AF$54,'Gas Intensity'!X10-1988,FALSE))*1000000),0,('Summary by Gas'!X32/VLOOKUP(StateID,'GSP from BEA'!$A$3:$AF$54,'Gas Intensity'!X10-1988,FALSE))*1000000)</f>
        <v>419.46266994231706</v>
      </c>
      <c r="Y11" s="265">
        <f>IF(ISERROR(('Summary by Gas'!Y32/VLOOKUP(StateID,'GSP from BEA'!$A$3:$AF$54,'Gas Intensity'!Y10-1988,FALSE))*1000000),0,('Summary by Gas'!Y32/VLOOKUP(StateID,'GSP from BEA'!$A$3:$AF$54,'Gas Intensity'!Y10-1988,FALSE))*1000000)</f>
        <v>378.78648616113065</v>
      </c>
      <c r="Z11" s="265">
        <f>IF(ISERROR(('Summary by Gas'!Z32/VLOOKUP(StateID,'GSP from BEA'!$A$3:$AF$54,'Gas Intensity'!Z10-1988,FALSE))*1000000),0,('Summary by Gas'!Z32/VLOOKUP(StateID,'GSP from BEA'!$A$3:$AF$54,'Gas Intensity'!Z10-1988,FALSE))*1000000)</f>
        <v>392.69642067238124</v>
      </c>
      <c r="AA11" s="265">
        <f>IF(ISERROR(('Summary by Gas'!AA32/VLOOKUP(StateID,'GSP from BEA'!$A$3:$AF$54,'Gas Intensity'!AA10-1988,FALSE))*1000000),0,('Summary by Gas'!AA32/VLOOKUP(StateID,'GSP from BEA'!$A$3:$AF$54,'Gas Intensity'!AA10-1988,FALSE))*1000000)</f>
        <v>382.99022454750349</v>
      </c>
      <c r="AB11" s="265">
        <f>IF(ISERROR(('Summary by Gas'!AB32/VLOOKUP(StateID,'GSP from BEA'!$A$3:$AF$54,'Gas Intensity'!AB10-1988,FALSE))*1000000),0,('Summary by Gas'!AB32/VLOOKUP(StateID,'GSP from BEA'!$A$3:$AF$54,'Gas Intensity'!AB10-1988,FALSE))*1000000)</f>
        <v>348.45338746880782</v>
      </c>
      <c r="AC11" s="265">
        <f>IF(ISERROR(('Summary by Gas'!AC32/VLOOKUP(StateID,'GSP from BEA'!$A$3:$AF$54,'Gas Intensity'!AC10-1988,FALSE))*1000000),0,('Summary by Gas'!AC32/VLOOKUP(StateID,'GSP from BEA'!$A$3:$AF$54,'Gas Intensity'!AC10-1988,FALSE))*1000000)</f>
        <v>330.11295104826894</v>
      </c>
      <c r="AD11" s="265">
        <f>IF(ISERROR(('Summary by Gas'!AD32/VLOOKUP(StateID,'GSP from BEA'!$A$3:$AF$54,'Gas Intensity'!AD10-1988,FALSE))*1000000),0,('Summary by Gas'!AD32/VLOOKUP(StateID,'GSP from BEA'!$A$3:$AF$54,'Gas Intensity'!AD10-1988,FALSE))*1000000)</f>
        <v>320.52138432218231</v>
      </c>
      <c r="AE11" s="265">
        <f>IF(ISERROR(('Summary by Gas'!AE32/VLOOKUP(StateID,'GSP from BEA'!$A$3:$AF$54,'Gas Intensity'!AE10-1988,FALSE))*1000000),0,('Summary by Gas'!AE32/VLOOKUP(StateID,'GSP from BEA'!$A$3:$AF$54,'Gas Intensity'!AE10-1988,FALSE))*1000000)</f>
        <v>313.77135974849421</v>
      </c>
      <c r="AF11" s="265">
        <f>IF(ISERROR(('Summary by Gas'!AF32/VLOOKUP(StateID,'GSP from BEA'!$A$3:$AK$54,'Gas Intensity'!AF10-1988,FALSE))*1000000),0,('Summary by Gas'!AF32/VLOOKUP(StateID,'GSP from BEA'!$A$3:$AK$54,'Gas Intensity'!AF10-1988,FALSE))*1000000)</f>
        <v>289.96819007646724</v>
      </c>
      <c r="AG11" s="265">
        <f>IF(ISERROR(('Summary by Gas'!AG32/VLOOKUP(StateID,'GSP from BEA'!$A$3:$AK$54,'Gas Intensity'!AG10-1988,FALSE))*1000000),0,('Summary by Gas'!AG32/VLOOKUP(StateID,'GSP from BEA'!$A$3:$AK$54,'Gas Intensity'!AG10-1988,FALSE))*1000000)</f>
        <v>260.81446914938857</v>
      </c>
      <c r="AH11" s="265">
        <f>IF(ISERROR(('Summary by Gas'!AH32/VLOOKUP(StateID,'GSP from BEA'!$A$3:$AK$54,'Gas Intensity'!AH10-1988,FALSE))*1000000),0,('Summary by Gas'!AH32/VLOOKUP(StateID,'GSP from BEA'!$A$3:$AK$54,'Gas Intensity'!AH10-1988,FALSE))*1000000)</f>
        <v>36.638754176752691</v>
      </c>
      <c r="AI11" s="265">
        <f>IF(ISERROR(('Summary by Gas'!AI32/VLOOKUP(StateID,'GSP from BEA'!$A$3:$AK$54,'Gas Intensity'!AI10-1988,FALSE))*1000000),0,('Summary by Gas'!AI32/VLOOKUP(StateID,'GSP from BEA'!$A$3:$AK$54,'Gas Intensity'!AI10-1988,FALSE))*1000000)</f>
        <v>4.843581556161034</v>
      </c>
      <c r="AJ11" s="265">
        <f>IF(ISERROR(('Summary by Gas'!AJ32/VLOOKUP(StateID,'GSP from BEA'!$A$3:$AK$54,'Gas Intensity'!AJ10-1988,FALSE))*1000000),0,('Summary by Gas'!AJ32/VLOOKUP(StateID,'GSP from BEA'!$A$3:$AK$54,'Gas Intensity'!AJ10-1988,FALSE))*1000000)</f>
        <v>0.38308051425057571</v>
      </c>
      <c r="AK11" s="265">
        <f>IF(ISERROR(('Summary by Gas'!AK32/VLOOKUP(StateID,'GSP from BEA'!$A$3:$AK$54,'Gas Intensity'!AK10-1988,FALSE))*1000000),0,('Summary by Gas'!AK32/VLOOKUP(StateID,'GSP from BEA'!$A$3:$AK$54,'Gas Intensity'!AK10-1988,FALSE))*1000000)</f>
        <v>0.37657349570620263</v>
      </c>
      <c r="AL11" s="265">
        <f>IF(ISERROR(('Summary by Gas'!AL32/VLOOKUP(StateID,'GSP from BEA'!$A$3:$AK$54,'Gas Intensity'!AL10-1988,FALSE))*1000000),0,('Summary by Gas'!AL32/VLOOKUP(StateID,'GSP from BEA'!$A$3:$AK$54,'Gas Intensity'!AL10-1988,FALSE))*1000000)</f>
        <v>0.37048197779736997</v>
      </c>
    </row>
    <row r="12" spans="1:38" s="121" customFormat="1" ht="16" thickBot="1">
      <c r="B12" s="262" t="s">
        <v>248</v>
      </c>
      <c r="C12" s="266">
        <f>IF(ISERROR('Summary by Gas'!C34/VLOOKUP(StateID,'GSP from BEA'!$A$3:$AF$54,'Gas Intensity'!C10-1988,FALSE)*1000000),0,'Summary by Gas'!C34/VLOOKUP(StateID,'GSP from BEA'!$A$3:$AF$54,'Gas Intensity'!C10-1988,FALSE)*1000000)</f>
        <v>829.19034544344709</v>
      </c>
      <c r="D12" s="266">
        <f>IF(ISERROR('Summary by Gas'!D34/VLOOKUP(StateID,'GSP from BEA'!$A$3:$AF$54,'Gas Intensity'!D10-1988,FALSE)*1000000),0,'Summary by Gas'!D34/VLOOKUP(StateID,'GSP from BEA'!$A$3:$AF$54,'Gas Intensity'!D10-1988,FALSE)*1000000)</f>
        <v>791.98109926140035</v>
      </c>
      <c r="E12" s="266">
        <f>IF(ISERROR('Summary by Gas'!E34/VLOOKUP(StateID,'GSP from BEA'!$A$3:$AF$54,'Gas Intensity'!E10-1988,FALSE)*1000000),0,'Summary by Gas'!E34/VLOOKUP(StateID,'GSP from BEA'!$A$3:$AF$54,'Gas Intensity'!E10-1988,FALSE)*1000000)</f>
        <v>746.27719306296387</v>
      </c>
      <c r="F12" s="266">
        <f>IF(ISERROR('Summary by Gas'!F34/VLOOKUP(StateID,'GSP from BEA'!$A$3:$AF$54,'Gas Intensity'!F10-1988,FALSE)*1000000),0,'Summary by Gas'!F34/VLOOKUP(StateID,'GSP from BEA'!$A$3:$AF$54,'Gas Intensity'!F10-1988,FALSE)*1000000)</f>
        <v>774.31518404765791</v>
      </c>
      <c r="G12" s="266">
        <f>IF(ISERROR('Summary by Gas'!G34/VLOOKUP(StateID,'GSP from BEA'!$A$3:$AF$54,'Gas Intensity'!G10-1988,FALSE)*1000000),0,'Summary by Gas'!G34/VLOOKUP(StateID,'GSP from BEA'!$A$3:$AF$54,'Gas Intensity'!G10-1988,FALSE)*1000000)</f>
        <v>707.51703862687589</v>
      </c>
      <c r="H12" s="266">
        <f>IF(ISERROR('Summary by Gas'!H34/VLOOKUP(StateID,'GSP from BEA'!$A$3:$AF$54,'Gas Intensity'!H10-1988,FALSE)*1000000),0,'Summary by Gas'!H34/VLOOKUP(StateID,'GSP from BEA'!$A$3:$AF$54,'Gas Intensity'!H10-1988,FALSE)*1000000)</f>
        <v>694.41823805665263</v>
      </c>
      <c r="I12" s="266">
        <f>IF(ISERROR('Summary by Gas'!I34/VLOOKUP(StateID,'GSP from BEA'!$A$3:$AF$54,'Gas Intensity'!I10-1988,FALSE)*1000000),0,'Summary by Gas'!I34/VLOOKUP(StateID,'GSP from BEA'!$A$3:$AF$54,'Gas Intensity'!I10-1988,FALSE)*1000000)</f>
        <v>692.13910183621658</v>
      </c>
      <c r="J12" s="266">
        <f>IF(ISERROR('Summary by Gas'!J34/VLOOKUP(StateID,'GSP from BEA'!$A$3:$AF$54,'Gas Intensity'!J10-1988,FALSE)*1000000),0,'Summary by Gas'!J34/VLOOKUP(StateID,'GSP from BEA'!$A$3:$AF$54,'Gas Intensity'!J10-1988,FALSE)*1000000)</f>
        <v>659.10955574621198</v>
      </c>
      <c r="K12" s="266">
        <f>IF(ISERROR('Summary by Gas'!K34/VLOOKUP(StateID,'GSP from BEA'!$A$3:$AF$54,'Gas Intensity'!K10-1988,FALSE)*1000000),0,'Summary by Gas'!K34/VLOOKUP(StateID,'GSP from BEA'!$A$3:$AF$54,'Gas Intensity'!K10-1988,FALSE)*1000000)</f>
        <v>610.86031942725708</v>
      </c>
      <c r="L12" s="266">
        <f>IF(ISERROR('Summary by Gas'!L34/VLOOKUP(StateID,'GSP from BEA'!$A$3:$AF$54,'Gas Intensity'!L10-1988,FALSE)*1000000),0,'Summary by Gas'!L34/VLOOKUP(StateID,'GSP from BEA'!$A$3:$AF$54,'Gas Intensity'!L10-1988,FALSE)*1000000)</f>
        <v>594.88469847305134</v>
      </c>
      <c r="M12" s="266">
        <f>IF(ISERROR('Summary by Gas'!M34/VLOOKUP(StateID,'GSP from BEA'!$A$3:$AF$54,'Gas Intensity'!M10-1988,FALSE)*1000000),0,'Summary by Gas'!M34/VLOOKUP(StateID,'GSP from BEA'!$A$3:$AF$54,'Gas Intensity'!M10-1988,FALSE)*1000000)</f>
        <v>570.63423349750599</v>
      </c>
      <c r="N12" s="266">
        <f>IF(ISERROR('Summary by Gas'!N34/VLOOKUP(StateID,'GSP from BEA'!$A$3:$AF$54,'Gas Intensity'!N10-1988,FALSE)*1000000),0,'Summary by Gas'!N34/VLOOKUP(StateID,'GSP from BEA'!$A$3:$AF$54,'Gas Intensity'!N10-1988,FALSE)*1000000)</f>
        <v>522.05986510979551</v>
      </c>
      <c r="O12" s="266">
        <f>IF(ISERROR('Summary by Gas'!O34/VLOOKUP(StateID,'GSP from BEA'!$A$3:$AF$54,'Gas Intensity'!O10-1988,FALSE)*1000000),0,'Summary by Gas'!O34/VLOOKUP(StateID,'GSP from BEA'!$A$3:$AF$54,'Gas Intensity'!O10-1988,FALSE)*1000000)</f>
        <v>521.07021047622163</v>
      </c>
      <c r="P12" s="266">
        <f>IF(ISERROR('Summary by Gas'!P34/VLOOKUP(StateID,'GSP from BEA'!$A$3:$AF$54,'Gas Intensity'!P10-1988,FALSE)*1000000),0,'Summary by Gas'!P34/VLOOKUP(StateID,'GSP from BEA'!$A$3:$AF$54,'Gas Intensity'!P10-1988,FALSE)*1000000)</f>
        <v>515.60014181135614</v>
      </c>
      <c r="Q12" s="266">
        <f>IF(ISERROR('Summary by Gas'!Q34/VLOOKUP(StateID,'GSP from BEA'!$A$3:$AF$54,'Gas Intensity'!Q10-1988,FALSE)*1000000),0,'Summary by Gas'!Q34/VLOOKUP(StateID,'GSP from BEA'!$A$3:$AF$54,'Gas Intensity'!Q10-1988,FALSE)*1000000)</f>
        <v>498.44133949995927</v>
      </c>
      <c r="R12" s="266">
        <f>IF(ISERROR('Summary by Gas'!R34/VLOOKUP(StateID,'GSP from BEA'!$A$3:$AF$54,'Gas Intensity'!R10-1988,FALSE)*1000000),0,'Summary by Gas'!R34/VLOOKUP(StateID,'GSP from BEA'!$A$3:$AF$54,'Gas Intensity'!R10-1988,FALSE)*1000000)</f>
        <v>480.96319319761812</v>
      </c>
      <c r="S12" s="266">
        <f>IF(ISERROR('Summary by Gas'!S34/VLOOKUP(StateID,'GSP from BEA'!$A$3:$AF$54,'Gas Intensity'!S10-1988,FALSE)*1000000),0,'Summary by Gas'!S34/VLOOKUP(StateID,'GSP from BEA'!$A$3:$AF$54,'Gas Intensity'!S10-1988,FALSE)*1000000)</f>
        <v>453.1640926720832</v>
      </c>
      <c r="T12" s="266">
        <f>IF(ISERROR('Summary by Gas'!T34/VLOOKUP(StateID,'GSP from BEA'!$A$3:$AF$54,'Gas Intensity'!T10-1988,FALSE)*1000000),0,'Summary by Gas'!T34/VLOOKUP(StateID,'GSP from BEA'!$A$3:$AF$54,'Gas Intensity'!T10-1988,FALSE)*1000000)</f>
        <v>439.1027227515595</v>
      </c>
      <c r="U12" s="266">
        <f>IF(ISERROR('Summary by Gas'!U34/VLOOKUP(StateID,'GSP from BEA'!$A$3:$AF$54,'Gas Intensity'!U10-1988,FALSE)*1000000),0,'Summary by Gas'!U34/VLOOKUP(StateID,'GSP from BEA'!$A$3:$AF$54,'Gas Intensity'!U10-1988,FALSE)*1000000)</f>
        <v>440.93902032603307</v>
      </c>
      <c r="V12" s="266">
        <f>IF(ISERROR('Summary by Gas'!V34/VLOOKUP(StateID,'GSP from BEA'!$A$3:$AF$54,'Gas Intensity'!V10-1988,FALSE)*1000000),0,'Summary by Gas'!V34/VLOOKUP(StateID,'GSP from BEA'!$A$3:$AF$54,'Gas Intensity'!V10-1988,FALSE)*1000000)</f>
        <v>411.68612083543485</v>
      </c>
      <c r="W12" s="266">
        <f>IF(ISERROR('Summary by Gas'!W34/VLOOKUP(StateID,'GSP from BEA'!$A$3:$AF$54,'Gas Intensity'!W10-1988,FALSE)*1000000),0,'Summary by Gas'!W34/VLOOKUP(StateID,'GSP from BEA'!$A$3:$AF$54,'Gas Intensity'!W10-1988,FALSE)*1000000)</f>
        <v>419.71993139375502</v>
      </c>
      <c r="X12" s="266">
        <f>IF(ISERROR('Summary by Gas'!X34/VLOOKUP(StateID,'GSP from BEA'!$A$3:$AF$54,'Gas Intensity'!X10-1988,FALSE)*1000000),0,'Summary by Gas'!X34/VLOOKUP(StateID,'GSP from BEA'!$A$3:$AF$54,'Gas Intensity'!X10-1988,FALSE)*1000000)</f>
        <v>391.95082620154744</v>
      </c>
      <c r="Y12" s="266">
        <f>IF(ISERROR('Summary by Gas'!Y34/VLOOKUP(StateID,'GSP from BEA'!$A$3:$AF$54,'Gas Intensity'!Y10-1988,FALSE)*1000000),0,'Summary by Gas'!Y34/VLOOKUP(StateID,'GSP from BEA'!$A$3:$AF$54,'Gas Intensity'!Y10-1988,FALSE)*1000000)</f>
        <v>355.04030894967218</v>
      </c>
      <c r="Z12" s="266">
        <f>IF(ISERROR('Summary by Gas'!Z34/VLOOKUP(StateID,'GSP from BEA'!$A$3:$AF$54,'Gas Intensity'!Z10-1988,FALSE)*1000000),0,'Summary by Gas'!Z34/VLOOKUP(StateID,'GSP from BEA'!$A$3:$AF$54,'Gas Intensity'!Z10-1988,FALSE)*1000000)</f>
        <v>376.15151839485435</v>
      </c>
      <c r="AA12" s="266">
        <f>IF(ISERROR('Summary by Gas'!AA34/VLOOKUP(StateID,'GSP from BEA'!$A$3:$AF$54,'Gas Intensity'!AA10-1988,FALSE)*1000000),0,'Summary by Gas'!AA34/VLOOKUP(StateID,'GSP from BEA'!$A$3:$AF$54,'Gas Intensity'!AA10-1988,FALSE)*1000000)</f>
        <v>363.2977707831954</v>
      </c>
      <c r="AB12" s="266">
        <f>IF(ISERROR('Summary by Gas'!AB34/VLOOKUP(StateID,'GSP from BEA'!$A$3:$AF$54,'Gas Intensity'!AB10-1988,FALSE)*1000000),0,'Summary by Gas'!AB34/VLOOKUP(StateID,'GSP from BEA'!$A$3:$AF$54,'Gas Intensity'!AB10-1988,FALSE)*1000000)</f>
        <v>328.33399967207265</v>
      </c>
      <c r="AC12" s="266">
        <f>IF(ISERROR('Summary by Gas'!AC34/VLOOKUP(StateID,'GSP from BEA'!$A$3:$AF$54,'Gas Intensity'!AC10-1988,FALSE)*1000000),0,'Summary by Gas'!AC34/VLOOKUP(StateID,'GSP from BEA'!$A$3:$AF$54,'Gas Intensity'!AC10-1988,FALSE)*1000000)</f>
        <v>310.48047110415388</v>
      </c>
      <c r="AD12" s="266">
        <f>IF(ISERROR('Summary by Gas'!AD34/VLOOKUP(StateID,'GSP from BEA'!$A$3:$AF$54,'Gas Intensity'!AD10-1988,FALSE)*1000000),0,'Summary by Gas'!AD34/VLOOKUP(StateID,'GSP from BEA'!$A$3:$AF$54,'Gas Intensity'!AD10-1988,FALSE)*1000000)</f>
        <v>301.36365310106618</v>
      </c>
      <c r="AE12" s="266">
        <f>IF(ISERROR('Summary by Gas'!AE34/VLOOKUP(StateID,'GSP from BEA'!$A$3:$AF$54,'Gas Intensity'!AE10-1988,FALSE)*1000000),0,'Summary by Gas'!AE34/VLOOKUP(StateID,'GSP from BEA'!$A$3:$AF$54,'Gas Intensity'!AE10-1988,FALSE)*1000000)</f>
        <v>296.39972790009205</v>
      </c>
      <c r="AF12" s="266">
        <f>IF(ISERROR('Summary by Gas'!AF34/VLOOKUP(StateID,'GSP from BEA'!$A$3:$AK$54,'Gas Intensity'!AF10-1988,FALSE)*1000000),0,'Summary by Gas'!AF34/VLOOKUP(StateID,'GSP from BEA'!$A$3:$AK$54,'Gas Intensity'!AF10-1988,FALSE)*1000000)</f>
        <v>273.45842607161973</v>
      </c>
      <c r="AG12" s="266">
        <f>IF(ISERROR('Summary by Gas'!AG34/VLOOKUP(StateID,'GSP from BEA'!$A$3:$AK$54,'Gas Intensity'!AG10-1988,FALSE)*1000000),0,'Summary by Gas'!AG34/VLOOKUP(StateID,'GSP from BEA'!$A$3:$AK$54,'Gas Intensity'!AG10-1988,FALSE)*1000000)</f>
        <v>242.22423849926329</v>
      </c>
      <c r="AH12" s="266">
        <f>IF(ISERROR('Summary by Gas'!AH34/VLOOKUP(StateID,'GSP from BEA'!$A$3:$AK$54,'Gas Intensity'!AH10-1988,FALSE)*1000000),0,'Summary by Gas'!AH34/VLOOKUP(StateID,'GSP from BEA'!$A$3:$AK$54,'Gas Intensity'!AH10-1988,FALSE)*1000000)</f>
        <v>36.638754176752691</v>
      </c>
      <c r="AI12" s="266">
        <f>IF(ISERROR('Summary by Gas'!AI34/VLOOKUP(StateID,'GSP from BEA'!$A$3:$AK$54,'Gas Intensity'!AI10-1988,FALSE)*1000000),0,'Summary by Gas'!AI34/VLOOKUP(StateID,'GSP from BEA'!$A$3:$AK$54,'Gas Intensity'!AI10-1988,FALSE)*1000000)</f>
        <v>4.843581556161034</v>
      </c>
      <c r="AJ12" s="266">
        <f>IF(ISERROR('Summary by Gas'!AJ34/VLOOKUP(StateID,'GSP from BEA'!$A$3:$AK$54,'Gas Intensity'!AJ10-1988,FALSE)*1000000),0,'Summary by Gas'!AJ34/VLOOKUP(StateID,'GSP from BEA'!$A$3:$AK$54,'Gas Intensity'!AJ10-1988,FALSE)*1000000)</f>
        <v>0.38308051425057571</v>
      </c>
      <c r="AK12" s="266">
        <f>IF(ISERROR('Summary by Gas'!AK34/VLOOKUP(StateID,'GSP from BEA'!$A$3:$AK$54,'Gas Intensity'!AK10-1988,FALSE)*1000000),0,'Summary by Gas'!AK34/VLOOKUP(StateID,'GSP from BEA'!$A$3:$AK$54,'Gas Intensity'!AK10-1988,FALSE)*1000000)</f>
        <v>0.37657349570620263</v>
      </c>
      <c r="AL12" s="266">
        <f>IF(ISERROR('Summary by Gas'!AL34/VLOOKUP(StateID,'GSP from BEA'!$A$3:$AK$54,'Gas Intensity'!AL10-1988,FALSE)*1000000),0,'Summary by Gas'!AL34/VLOOKUP(StateID,'GSP from BEA'!$A$3:$AK$54,'Gas Intensity'!AL10-1988,FALSE)*1000000)</f>
        <v>0.37048197779736997</v>
      </c>
    </row>
    <row r="13" spans="1:38" s="284" customFormat="1">
      <c r="C13" s="311"/>
    </row>
    <row r="14" spans="1:38">
      <c r="U14" s="291"/>
      <c r="V14" s="279"/>
      <c r="W14" s="291"/>
      <c r="X14" s="291"/>
      <c r="Y14" s="291"/>
    </row>
    <row r="15" spans="1:38">
      <c r="U15" s="291"/>
      <c r="V15" s="296" t="str">
        <f>"Gross GHG Emissions Per Capita, 1990-"&amp;B9</f>
        <v>Gross GHG Emissions Per Capita, 1990-2025</v>
      </c>
      <c r="W15" s="291"/>
      <c r="X15" s="291"/>
      <c r="Y15" s="291"/>
    </row>
    <row r="16" spans="1:38">
      <c r="U16" s="291"/>
      <c r="V16" s="296" t="str">
        <f>"Gross GHG Emissions Per GSP, 1990-"&amp;B9</f>
        <v>Gross GHG Emissions Per GSP, 1990-2025</v>
      </c>
      <c r="W16" s="291"/>
      <c r="X16" s="291"/>
      <c r="Y16" s="291"/>
    </row>
    <row r="17" spans="21:25">
      <c r="U17" s="291"/>
      <c r="V17" s="279"/>
      <c r="W17" s="291"/>
      <c r="X17" s="291"/>
      <c r="Y17" s="291"/>
    </row>
    <row r="18" spans="21:25">
      <c r="U18" s="291"/>
      <c r="V18" s="291"/>
      <c r="W18" s="291"/>
      <c r="X18" s="291"/>
      <c r="Y18" s="291"/>
    </row>
    <row r="19" spans="21:25">
      <c r="U19" s="291"/>
      <c r="V19" s="291"/>
      <c r="W19" s="291"/>
      <c r="X19" s="291"/>
      <c r="Y19" s="291"/>
    </row>
    <row r="20" spans="21:25">
      <c r="U20" s="291"/>
      <c r="V20" s="291"/>
      <c r="W20" s="291"/>
      <c r="X20" s="291"/>
      <c r="Y20" s="291"/>
    </row>
    <row r="21" spans="21:25">
      <c r="U21" s="291"/>
      <c r="V21" s="291"/>
      <c r="W21" s="291"/>
      <c r="X21" s="291"/>
      <c r="Y21" s="291"/>
    </row>
    <row r="22" spans="21:25">
      <c r="U22" s="291"/>
      <c r="V22" s="291"/>
      <c r="W22" s="291"/>
      <c r="X22" s="291"/>
      <c r="Y22" s="291"/>
    </row>
    <row r="23" spans="21:25">
      <c r="U23" s="291"/>
      <c r="V23" s="291"/>
      <c r="W23" s="291"/>
      <c r="X23" s="291"/>
      <c r="Y23" s="291"/>
    </row>
    <row r="24" spans="21:25">
      <c r="U24" s="291"/>
      <c r="V24" s="291"/>
      <c r="W24" s="291"/>
      <c r="X24" s="291"/>
      <c r="Y24" s="291"/>
    </row>
    <row r="25" spans="21:25">
      <c r="U25" s="291"/>
      <c r="V25" s="291"/>
      <c r="W25" s="291"/>
      <c r="X25" s="291"/>
      <c r="Y25" s="291"/>
    </row>
    <row r="26" spans="21:25">
      <c r="U26" s="291"/>
      <c r="V26" s="291"/>
      <c r="W26" s="291"/>
      <c r="X26" s="291"/>
      <c r="Y26" s="291"/>
    </row>
    <row r="27" spans="21:25">
      <c r="U27" s="291"/>
      <c r="V27" s="291"/>
      <c r="W27" s="291"/>
      <c r="X27" s="291"/>
      <c r="Y27" s="291"/>
    </row>
    <row r="28" spans="21:25">
      <c r="U28" s="291"/>
      <c r="V28" s="291"/>
      <c r="W28" s="291"/>
      <c r="X28" s="291"/>
      <c r="Y28" s="291"/>
    </row>
    <row r="29" spans="21:25">
      <c r="U29" s="291"/>
      <c r="V29" s="291"/>
      <c r="W29" s="291"/>
      <c r="X29" s="291"/>
      <c r="Y29" s="291"/>
    </row>
    <row r="30" spans="21:25">
      <c r="U30" s="291"/>
      <c r="V30" s="291"/>
      <c r="W30" s="291"/>
      <c r="X30" s="291"/>
      <c r="Y30" s="291"/>
    </row>
    <row r="31" spans="21:25">
      <c r="U31" s="291"/>
      <c r="V31" s="291"/>
      <c r="W31" s="291"/>
      <c r="X31" s="291"/>
      <c r="Y31" s="291"/>
    </row>
    <row r="32" spans="21:25">
      <c r="U32" s="291"/>
      <c r="V32" s="291"/>
      <c r="W32" s="291"/>
      <c r="X32" s="291"/>
      <c r="Y32" s="291"/>
    </row>
    <row r="33" spans="21:25">
      <c r="U33" s="291"/>
      <c r="V33" s="291"/>
      <c r="W33" s="291"/>
      <c r="X33" s="291"/>
      <c r="Y33" s="291"/>
    </row>
    <row r="34" spans="21:25">
      <c r="U34" s="291"/>
      <c r="V34" s="291"/>
      <c r="W34" s="291"/>
      <c r="X34" s="291"/>
      <c r="Y34" s="291"/>
    </row>
  </sheetData>
  <sheetProtection algorithmName="SHA-512" hashValue="2UTTjEYgP4WbZebPPHp1ApqCEFybH0tiP7AYSK+kUl7i7xTxeOQpxrVlmvIwOyqRRj03R+AtZRfeW7DPwn3oDQ==" saltValue="VGWuKGup0G1sFW8sePmn0g==" spinCount="100000" sheet="1" objects="1" scenarios="1"/>
  <mergeCells count="1">
    <mergeCell ref="A1:E1"/>
  </mergeCells>
  <phoneticPr fontId="17" type="noConversion"/>
  <pageMargins left="0.75" right="0.75" top="1" bottom="1" header="0.5" footer="0.5"/>
  <pageSetup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5"/>
  <dimension ref="A1:AY68"/>
  <sheetViews>
    <sheetView showGridLines="0" showRowColHeaders="0" topLeftCell="AE35" workbookViewId="0">
      <selection activeCell="AG56" sqref="AG56:AK56"/>
    </sheetView>
  </sheetViews>
  <sheetFormatPr defaultRowHeight="13"/>
  <cols>
    <col min="1" max="1" width="5.54296875" style="168" bestFit="1" customWidth="1"/>
    <col min="2" max="6" width="12.26953125" customWidth="1"/>
    <col min="7" max="7" width="12" customWidth="1"/>
    <col min="8" max="16" width="12.26953125" bestFit="1" customWidth="1"/>
    <col min="17" max="17" width="12.26953125" style="171" bestFit="1" customWidth="1"/>
    <col min="18" max="31" width="12.26953125" bestFit="1" customWidth="1"/>
    <col min="32" max="32" width="12.26953125" style="171" bestFit="1" customWidth="1"/>
    <col min="33" max="37" width="12.26953125" style="171" customWidth="1"/>
  </cols>
  <sheetData>
    <row r="1" spans="1:51">
      <c r="B1" t="s">
        <v>374</v>
      </c>
      <c r="M1" s="169"/>
      <c r="N1" s="169"/>
      <c r="O1" s="170"/>
      <c r="P1" s="170"/>
      <c r="Q1" s="284"/>
      <c r="AF1" s="284"/>
      <c r="AG1" s="284"/>
      <c r="AH1" s="284"/>
      <c r="AI1" s="284"/>
      <c r="AJ1" s="284"/>
      <c r="AK1" s="284"/>
    </row>
    <row r="2" spans="1:51" ht="13.5" thickBot="1">
      <c r="B2" t="s">
        <v>250</v>
      </c>
      <c r="C2" t="s">
        <v>251</v>
      </c>
      <c r="M2" s="172"/>
      <c r="N2" s="172"/>
      <c r="O2" s="172"/>
      <c r="P2" s="172"/>
      <c r="Q2" s="284"/>
      <c r="V2" s="312"/>
      <c r="W2" s="312"/>
      <c r="X2" s="312"/>
      <c r="Y2" s="312"/>
      <c r="Z2" s="312"/>
      <c r="AA2" s="312"/>
      <c r="AB2" s="312"/>
      <c r="AC2" s="312"/>
      <c r="AD2" s="312"/>
      <c r="AE2" s="312"/>
      <c r="AF2" s="284"/>
      <c r="AG2" s="284"/>
      <c r="AH2" s="284"/>
      <c r="AI2" s="284"/>
      <c r="AJ2" s="284"/>
      <c r="AK2" s="284"/>
    </row>
    <row r="3" spans="1:51" s="173" customFormat="1" ht="13.5" thickBot="1">
      <c r="A3" s="378" t="s">
        <v>252</v>
      </c>
      <c r="B3" s="386">
        <v>1990</v>
      </c>
      <c r="C3" s="387">
        <v>1991</v>
      </c>
      <c r="D3" s="387">
        <v>1992</v>
      </c>
      <c r="E3" s="387">
        <v>1993</v>
      </c>
      <c r="F3" s="387">
        <v>1994</v>
      </c>
      <c r="G3" s="387">
        <v>1995</v>
      </c>
      <c r="H3" s="387">
        <v>1996</v>
      </c>
      <c r="I3" s="387">
        <v>1997</v>
      </c>
      <c r="J3" s="387">
        <v>1998</v>
      </c>
      <c r="K3" s="387">
        <v>1999</v>
      </c>
      <c r="L3" s="387">
        <v>2000</v>
      </c>
      <c r="M3" s="387">
        <v>2001</v>
      </c>
      <c r="N3" s="387">
        <v>2002</v>
      </c>
      <c r="O3" s="387">
        <v>2003</v>
      </c>
      <c r="P3" s="387">
        <v>2004</v>
      </c>
      <c r="Q3" s="388">
        <v>2005</v>
      </c>
      <c r="R3" s="387">
        <v>2006</v>
      </c>
      <c r="S3" s="387">
        <v>2007</v>
      </c>
      <c r="T3" s="387">
        <v>2008</v>
      </c>
      <c r="U3" s="387">
        <v>2009</v>
      </c>
      <c r="V3" s="387">
        <v>2010</v>
      </c>
      <c r="W3" s="387">
        <v>2011</v>
      </c>
      <c r="X3" s="387">
        <v>2012</v>
      </c>
      <c r="Y3" s="387">
        <v>2013</v>
      </c>
      <c r="Z3" s="387">
        <v>2014</v>
      </c>
      <c r="AA3" s="387">
        <v>2015</v>
      </c>
      <c r="AB3" s="387">
        <v>2016</v>
      </c>
      <c r="AC3" s="387">
        <v>2017</v>
      </c>
      <c r="AD3" s="387">
        <v>2018</v>
      </c>
      <c r="AE3" s="387">
        <v>2019</v>
      </c>
      <c r="AF3" s="387">
        <v>2020</v>
      </c>
      <c r="AG3" s="387">
        <v>2021</v>
      </c>
      <c r="AH3" s="387">
        <v>2022</v>
      </c>
      <c r="AI3" s="387">
        <v>2023</v>
      </c>
      <c r="AJ3" s="387">
        <v>2024</v>
      </c>
      <c r="AK3" s="389">
        <v>2025</v>
      </c>
      <c r="AL3" s="168"/>
      <c r="AM3" s="168"/>
      <c r="AN3" s="168"/>
      <c r="AO3" s="168"/>
      <c r="AP3" s="168"/>
      <c r="AQ3" s="168"/>
      <c r="AR3" s="168"/>
      <c r="AS3" s="168"/>
      <c r="AT3" s="168"/>
      <c r="AU3" s="168"/>
      <c r="AV3" s="168"/>
      <c r="AW3" s="168"/>
      <c r="AX3" s="168"/>
      <c r="AY3" s="168"/>
    </row>
    <row r="4" spans="1:51" ht="12.5">
      <c r="A4" s="383" t="s">
        <v>253</v>
      </c>
      <c r="B4" s="372">
        <v>4050.0549999999998</v>
      </c>
      <c r="C4" s="373">
        <v>4099.1559999999999</v>
      </c>
      <c r="D4" s="373">
        <v>4154.0140000000001</v>
      </c>
      <c r="E4" s="373">
        <v>4214.2020000000002</v>
      </c>
      <c r="F4" s="373">
        <v>4260.2290000000003</v>
      </c>
      <c r="G4" s="373">
        <v>4296.8</v>
      </c>
      <c r="H4" s="373">
        <v>4331.1019999999999</v>
      </c>
      <c r="I4" s="373">
        <v>4367.9350000000004</v>
      </c>
      <c r="J4" s="373">
        <v>4404.701</v>
      </c>
      <c r="K4" s="373">
        <v>4430.1409999999996</v>
      </c>
      <c r="L4" s="373">
        <v>4452.1729999999998</v>
      </c>
      <c r="M4" s="373">
        <v>4467.634</v>
      </c>
      <c r="N4" s="373">
        <v>4480.0889999999999</v>
      </c>
      <c r="O4" s="373">
        <v>4503.491</v>
      </c>
      <c r="P4" s="373">
        <v>4530.7290000000003</v>
      </c>
      <c r="Q4" s="373">
        <v>4569.8050000000003</v>
      </c>
      <c r="R4" s="373">
        <v>4628.9809999999998</v>
      </c>
      <c r="S4" s="373">
        <v>4672.84</v>
      </c>
      <c r="T4" s="373">
        <v>4718.2060000000001</v>
      </c>
      <c r="U4" s="373">
        <v>4757.9380000000001</v>
      </c>
      <c r="V4" s="373">
        <v>4785.5140000000001</v>
      </c>
      <c r="W4" s="373">
        <v>4799.6419999999998</v>
      </c>
      <c r="X4" s="373">
        <v>4816.6319999999996</v>
      </c>
      <c r="Y4" s="373">
        <v>4831.5860000000002</v>
      </c>
      <c r="Z4" s="373">
        <v>4843.7370000000001</v>
      </c>
      <c r="AA4" s="373">
        <v>4854.8029999999999</v>
      </c>
      <c r="AB4" s="373">
        <v>4866.8239999999996</v>
      </c>
      <c r="AC4" s="373">
        <v>4877.9889999999996</v>
      </c>
      <c r="AD4" s="373">
        <v>4891.6279999999997</v>
      </c>
      <c r="AE4" s="373">
        <v>4907.9650000000001</v>
      </c>
      <c r="AF4" s="373">
        <v>4921.5320000000002</v>
      </c>
      <c r="AG4" s="408">
        <f>AF4</f>
        <v>4921.5320000000002</v>
      </c>
      <c r="AH4" s="408">
        <f t="shared" ref="AH4:AK4" si="0">AG4</f>
        <v>4921.5320000000002</v>
      </c>
      <c r="AI4" s="408">
        <f t="shared" si="0"/>
        <v>4921.5320000000002</v>
      </c>
      <c r="AJ4" s="408">
        <f t="shared" si="0"/>
        <v>4921.5320000000002</v>
      </c>
      <c r="AK4" s="409">
        <f t="shared" si="0"/>
        <v>4921.5320000000002</v>
      </c>
      <c r="AL4" s="374"/>
      <c r="AT4" s="174"/>
      <c r="AU4" s="174"/>
      <c r="AV4" s="174"/>
      <c r="AW4" s="174"/>
      <c r="AX4" s="174"/>
      <c r="AY4" s="174"/>
    </row>
    <row r="5" spans="1:51" ht="12.5">
      <c r="A5" s="384" t="s">
        <v>254</v>
      </c>
      <c r="B5" s="375">
        <v>553.29</v>
      </c>
      <c r="C5" s="374">
        <v>570.19299999999998</v>
      </c>
      <c r="D5" s="374">
        <v>588.73599999999999</v>
      </c>
      <c r="E5" s="374">
        <v>599.43200000000002</v>
      </c>
      <c r="F5" s="374">
        <v>603.30799999999999</v>
      </c>
      <c r="G5" s="374">
        <v>604.41200000000003</v>
      </c>
      <c r="H5" s="374">
        <v>608.56899999999996</v>
      </c>
      <c r="I5" s="374">
        <v>612.96799999999996</v>
      </c>
      <c r="J5" s="374">
        <v>619.93200000000002</v>
      </c>
      <c r="K5" s="374">
        <v>624.779</v>
      </c>
      <c r="L5" s="374">
        <v>627.96299999999997</v>
      </c>
      <c r="M5" s="374">
        <v>633.71400000000006</v>
      </c>
      <c r="N5" s="374">
        <v>642.33699999999999</v>
      </c>
      <c r="O5" s="374">
        <v>648.41399999999999</v>
      </c>
      <c r="P5" s="374">
        <v>659.28599999999994</v>
      </c>
      <c r="Q5" s="374">
        <v>666.94600000000003</v>
      </c>
      <c r="R5" s="374">
        <v>675.30200000000002</v>
      </c>
      <c r="S5" s="374">
        <v>680.3</v>
      </c>
      <c r="T5" s="374">
        <v>687.45500000000004</v>
      </c>
      <c r="U5" s="374">
        <v>698.89499999999998</v>
      </c>
      <c r="V5" s="374">
        <v>713.98199999999997</v>
      </c>
      <c r="W5" s="374">
        <v>722.34900000000005</v>
      </c>
      <c r="X5" s="374">
        <v>730.81</v>
      </c>
      <c r="Y5" s="374">
        <v>737.62599999999998</v>
      </c>
      <c r="Z5" s="374">
        <v>737.07500000000005</v>
      </c>
      <c r="AA5" s="374">
        <v>738.43</v>
      </c>
      <c r="AB5" s="374">
        <v>742.57500000000005</v>
      </c>
      <c r="AC5" s="374">
        <v>740.98299999999995</v>
      </c>
      <c r="AD5" s="374">
        <v>736.62400000000002</v>
      </c>
      <c r="AE5" s="374">
        <v>733.60299999999995</v>
      </c>
      <c r="AF5" s="300">
        <v>731.15800000000002</v>
      </c>
      <c r="AG5" s="410">
        <f t="shared" ref="AG5:AK5" si="1">AF5</f>
        <v>731.15800000000002</v>
      </c>
      <c r="AH5" s="410">
        <f t="shared" si="1"/>
        <v>731.15800000000002</v>
      </c>
      <c r="AI5" s="410">
        <f t="shared" si="1"/>
        <v>731.15800000000002</v>
      </c>
      <c r="AJ5" s="410">
        <f t="shared" si="1"/>
        <v>731.15800000000002</v>
      </c>
      <c r="AK5" s="411">
        <f t="shared" si="1"/>
        <v>731.15800000000002</v>
      </c>
      <c r="AL5" s="374"/>
      <c r="AT5" s="174"/>
      <c r="AU5" s="174"/>
      <c r="AV5" s="174"/>
      <c r="AW5" s="174"/>
      <c r="AX5" s="174"/>
      <c r="AY5" s="174"/>
    </row>
    <row r="6" spans="1:51" ht="12.5">
      <c r="A6" s="384" t="s">
        <v>255</v>
      </c>
      <c r="B6" s="375">
        <v>3684.0970000000002</v>
      </c>
      <c r="C6" s="374">
        <v>3788.576</v>
      </c>
      <c r="D6" s="374">
        <v>3915.74</v>
      </c>
      <c r="E6" s="374">
        <v>4065.44</v>
      </c>
      <c r="F6" s="374">
        <v>4245.0889999999999</v>
      </c>
      <c r="G6" s="374">
        <v>4432.4989999999998</v>
      </c>
      <c r="H6" s="374">
        <v>4586.9399999999996</v>
      </c>
      <c r="I6" s="374">
        <v>4736.99</v>
      </c>
      <c r="J6" s="374">
        <v>4883.3419999999996</v>
      </c>
      <c r="K6" s="374">
        <v>5023.8230000000003</v>
      </c>
      <c r="L6" s="374">
        <v>5160.5860000000002</v>
      </c>
      <c r="M6" s="374">
        <v>5273.4769999999999</v>
      </c>
      <c r="N6" s="374">
        <v>5396.2550000000001</v>
      </c>
      <c r="O6" s="374">
        <v>5510.3639999999996</v>
      </c>
      <c r="P6" s="374">
        <v>5652.4040000000005</v>
      </c>
      <c r="Q6" s="374">
        <v>5839.0770000000002</v>
      </c>
      <c r="R6" s="374">
        <v>6029.1409999999996</v>
      </c>
      <c r="S6" s="374">
        <v>6167.6809999999996</v>
      </c>
      <c r="T6" s="374">
        <v>6280.3620000000001</v>
      </c>
      <c r="U6" s="374">
        <v>6343.1540000000005</v>
      </c>
      <c r="V6" s="374">
        <v>6407.3419999999996</v>
      </c>
      <c r="W6" s="374">
        <v>6473.4160000000002</v>
      </c>
      <c r="X6" s="374">
        <v>6556.3440000000001</v>
      </c>
      <c r="Y6" s="374">
        <v>6634.69</v>
      </c>
      <c r="Z6" s="374">
        <v>6732.8729999999996</v>
      </c>
      <c r="AA6" s="374">
        <v>6832.81</v>
      </c>
      <c r="AB6" s="374">
        <v>6944.7669999999998</v>
      </c>
      <c r="AC6" s="374">
        <v>7048.0879999999997</v>
      </c>
      <c r="AD6" s="374">
        <v>7164.2280000000001</v>
      </c>
      <c r="AE6" s="374">
        <v>7291.8429999999998</v>
      </c>
      <c r="AF6" s="374">
        <v>7421.4009999999998</v>
      </c>
      <c r="AG6" s="412">
        <f t="shared" ref="AG6:AK6" si="2">AF6</f>
        <v>7421.4009999999998</v>
      </c>
      <c r="AH6" s="412">
        <f t="shared" si="2"/>
        <v>7421.4009999999998</v>
      </c>
      <c r="AI6" s="412">
        <f t="shared" si="2"/>
        <v>7421.4009999999998</v>
      </c>
      <c r="AJ6" s="412">
        <f t="shared" si="2"/>
        <v>7421.4009999999998</v>
      </c>
      <c r="AK6" s="413">
        <f t="shared" si="2"/>
        <v>7421.4009999999998</v>
      </c>
      <c r="AL6" s="374"/>
      <c r="AT6" s="174"/>
      <c r="AU6" s="174"/>
      <c r="AV6" s="174"/>
      <c r="AW6" s="174"/>
      <c r="AX6" s="174"/>
      <c r="AY6" s="174"/>
    </row>
    <row r="7" spans="1:51" ht="12.5">
      <c r="A7" s="384" t="s">
        <v>256</v>
      </c>
      <c r="B7" s="375">
        <v>2356.5859999999998</v>
      </c>
      <c r="C7" s="374">
        <v>2383.1439999999998</v>
      </c>
      <c r="D7" s="374">
        <v>2415.9839999999999</v>
      </c>
      <c r="E7" s="374">
        <v>2456.3029999999999</v>
      </c>
      <c r="F7" s="374">
        <v>2494.0189999999998</v>
      </c>
      <c r="G7" s="374">
        <v>2535.3989999999999</v>
      </c>
      <c r="H7" s="374">
        <v>2572.1089999999999</v>
      </c>
      <c r="I7" s="374">
        <v>2601.09</v>
      </c>
      <c r="J7" s="374">
        <v>2626.2890000000002</v>
      </c>
      <c r="K7" s="374">
        <v>2651.86</v>
      </c>
      <c r="L7" s="374">
        <v>2678.5880000000002</v>
      </c>
      <c r="M7" s="374">
        <v>2691.5709999999999</v>
      </c>
      <c r="N7" s="374">
        <v>2705.9270000000001</v>
      </c>
      <c r="O7" s="374">
        <v>2724.8159999999998</v>
      </c>
      <c r="P7" s="374">
        <v>2749.6860000000001</v>
      </c>
      <c r="Q7" s="374">
        <v>2781.0970000000002</v>
      </c>
      <c r="R7" s="374">
        <v>2821.761</v>
      </c>
      <c r="S7" s="374">
        <v>2848.65</v>
      </c>
      <c r="T7" s="374">
        <v>2874.5540000000001</v>
      </c>
      <c r="U7" s="374">
        <v>2896.8429999999998</v>
      </c>
      <c r="V7" s="374">
        <v>2921.998</v>
      </c>
      <c r="W7" s="374">
        <v>2941.038</v>
      </c>
      <c r="X7" s="374">
        <v>2952.8760000000002</v>
      </c>
      <c r="Y7" s="374">
        <v>2960.4589999999998</v>
      </c>
      <c r="Z7" s="374">
        <v>2968.759</v>
      </c>
      <c r="AA7" s="374">
        <v>2979.732</v>
      </c>
      <c r="AB7" s="374">
        <v>2991.8150000000001</v>
      </c>
      <c r="AC7" s="374">
        <v>3003.855</v>
      </c>
      <c r="AD7" s="374">
        <v>3012.1610000000001</v>
      </c>
      <c r="AE7" s="374">
        <v>3020.9850000000001</v>
      </c>
      <c r="AF7" s="374">
        <v>3030.5219999999999</v>
      </c>
      <c r="AG7" s="412">
        <f t="shared" ref="AG7:AK7" si="3">AF7</f>
        <v>3030.5219999999999</v>
      </c>
      <c r="AH7" s="412">
        <f t="shared" si="3"/>
        <v>3030.5219999999999</v>
      </c>
      <c r="AI7" s="412">
        <f t="shared" si="3"/>
        <v>3030.5219999999999</v>
      </c>
      <c r="AJ7" s="412">
        <f t="shared" si="3"/>
        <v>3030.5219999999999</v>
      </c>
      <c r="AK7" s="413">
        <f t="shared" si="3"/>
        <v>3030.5219999999999</v>
      </c>
      <c r="AL7" s="374"/>
      <c r="AT7" s="174"/>
      <c r="AU7" s="174"/>
      <c r="AV7" s="174"/>
      <c r="AW7" s="174"/>
      <c r="AX7" s="174"/>
      <c r="AY7" s="174"/>
    </row>
    <row r="8" spans="1:51" ht="12.5">
      <c r="A8" s="384" t="s">
        <v>257</v>
      </c>
      <c r="B8" s="375">
        <v>29959.514999999999</v>
      </c>
      <c r="C8" s="374">
        <v>30470.736000000001</v>
      </c>
      <c r="D8" s="374">
        <v>30974.659</v>
      </c>
      <c r="E8" s="374">
        <v>31274.928</v>
      </c>
      <c r="F8" s="374">
        <v>31484.435000000001</v>
      </c>
      <c r="G8" s="374">
        <v>31696.581999999999</v>
      </c>
      <c r="H8" s="374">
        <v>32018.833999999999</v>
      </c>
      <c r="I8" s="374">
        <v>32486.01</v>
      </c>
      <c r="J8" s="374">
        <v>32987.675000000003</v>
      </c>
      <c r="K8" s="374">
        <v>33499.203999999998</v>
      </c>
      <c r="L8" s="374">
        <v>33987.976999999999</v>
      </c>
      <c r="M8" s="374">
        <v>34479.457999999999</v>
      </c>
      <c r="N8" s="374">
        <v>34871.843000000001</v>
      </c>
      <c r="O8" s="374">
        <v>35253.159</v>
      </c>
      <c r="P8" s="374">
        <v>35574.576000000001</v>
      </c>
      <c r="Q8" s="374">
        <v>35827.942999999999</v>
      </c>
      <c r="R8" s="374">
        <v>36021.201999999997</v>
      </c>
      <c r="S8" s="374">
        <v>36250.311000000002</v>
      </c>
      <c r="T8" s="374">
        <v>36604.337</v>
      </c>
      <c r="U8" s="374">
        <v>36961.228999999999</v>
      </c>
      <c r="V8" s="374">
        <v>37319.550000000003</v>
      </c>
      <c r="W8" s="374">
        <v>37636.311000000002</v>
      </c>
      <c r="X8" s="374">
        <v>37944.550999999999</v>
      </c>
      <c r="Y8" s="374">
        <v>38253.767999999996</v>
      </c>
      <c r="Z8" s="374">
        <v>38586.705999999998</v>
      </c>
      <c r="AA8" s="374">
        <v>38904.296000000002</v>
      </c>
      <c r="AB8" s="374">
        <v>39149.186000000002</v>
      </c>
      <c r="AC8" s="374">
        <v>39337.785000000003</v>
      </c>
      <c r="AD8" s="374">
        <v>39437.463000000003</v>
      </c>
      <c r="AE8" s="374">
        <v>39437.61</v>
      </c>
      <c r="AF8" s="374">
        <v>39368.078000000001</v>
      </c>
      <c r="AG8" s="412">
        <f t="shared" ref="AG8:AK8" si="4">AF8</f>
        <v>39368.078000000001</v>
      </c>
      <c r="AH8" s="412">
        <f t="shared" si="4"/>
        <v>39368.078000000001</v>
      </c>
      <c r="AI8" s="412">
        <f t="shared" si="4"/>
        <v>39368.078000000001</v>
      </c>
      <c r="AJ8" s="412">
        <f t="shared" si="4"/>
        <v>39368.078000000001</v>
      </c>
      <c r="AK8" s="413">
        <f t="shared" si="4"/>
        <v>39368.078000000001</v>
      </c>
      <c r="AL8" s="374"/>
      <c r="AT8" s="174"/>
      <c r="AU8" s="174"/>
      <c r="AV8" s="174"/>
      <c r="AW8" s="174"/>
      <c r="AX8" s="174"/>
      <c r="AY8" s="174"/>
    </row>
    <row r="9" spans="1:51" ht="12.5">
      <c r="A9" s="384" t="s">
        <v>258</v>
      </c>
      <c r="B9" s="375">
        <v>3307.6179999999999</v>
      </c>
      <c r="C9" s="374">
        <v>3387.1190000000001</v>
      </c>
      <c r="D9" s="374">
        <v>3495.9389999999999</v>
      </c>
      <c r="E9" s="374">
        <v>3613.7339999999999</v>
      </c>
      <c r="F9" s="374">
        <v>3724.1680000000001</v>
      </c>
      <c r="G9" s="374">
        <v>3826.6529999999998</v>
      </c>
      <c r="H9" s="374">
        <v>3919.9720000000002</v>
      </c>
      <c r="I9" s="374">
        <v>4018.2930000000001</v>
      </c>
      <c r="J9" s="374">
        <v>4116.6390000000001</v>
      </c>
      <c r="K9" s="374">
        <v>4226.018</v>
      </c>
      <c r="L9" s="374">
        <v>4326.9210000000003</v>
      </c>
      <c r="M9" s="374">
        <v>4425.6869999999999</v>
      </c>
      <c r="N9" s="374">
        <v>4490.4059999999999</v>
      </c>
      <c r="O9" s="374">
        <v>4528.732</v>
      </c>
      <c r="P9" s="374">
        <v>4575.0129999999999</v>
      </c>
      <c r="Q9" s="374">
        <v>4631.8879999999999</v>
      </c>
      <c r="R9" s="374">
        <v>4720.4229999999998</v>
      </c>
      <c r="S9" s="374">
        <v>4803.8680000000004</v>
      </c>
      <c r="T9" s="374">
        <v>4889.7299999999996</v>
      </c>
      <c r="U9" s="374">
        <v>4972.1949999999997</v>
      </c>
      <c r="V9" s="374">
        <v>5047.5389999999998</v>
      </c>
      <c r="W9" s="374">
        <v>5121.8999999999996</v>
      </c>
      <c r="X9" s="374">
        <v>5193.66</v>
      </c>
      <c r="Y9" s="374">
        <v>5270.7740000000003</v>
      </c>
      <c r="Z9" s="374">
        <v>5352.6369999999997</v>
      </c>
      <c r="AA9" s="374">
        <v>5454.3280000000004</v>
      </c>
      <c r="AB9" s="374">
        <v>5543.8440000000001</v>
      </c>
      <c r="AC9" s="374">
        <v>5617.4210000000003</v>
      </c>
      <c r="AD9" s="374">
        <v>5697.1549999999997</v>
      </c>
      <c r="AE9" s="374">
        <v>5758.4859999999999</v>
      </c>
      <c r="AF9" s="374">
        <v>5807.7190000000001</v>
      </c>
      <c r="AG9" s="412">
        <f t="shared" ref="AG9:AK9" si="5">AF9</f>
        <v>5807.7190000000001</v>
      </c>
      <c r="AH9" s="412">
        <f t="shared" si="5"/>
        <v>5807.7190000000001</v>
      </c>
      <c r="AI9" s="412">
        <f t="shared" si="5"/>
        <v>5807.7190000000001</v>
      </c>
      <c r="AJ9" s="412">
        <f t="shared" si="5"/>
        <v>5807.7190000000001</v>
      </c>
      <c r="AK9" s="413">
        <f t="shared" si="5"/>
        <v>5807.7190000000001</v>
      </c>
      <c r="AL9" s="374"/>
      <c r="AT9" s="174"/>
      <c r="AU9" s="174"/>
      <c r="AV9" s="174"/>
      <c r="AW9" s="174"/>
      <c r="AX9" s="174"/>
      <c r="AY9" s="174"/>
    </row>
    <row r="10" spans="1:51" ht="12.5">
      <c r="A10" s="384" t="s">
        <v>259</v>
      </c>
      <c r="B10" s="375">
        <v>3291.9670000000001</v>
      </c>
      <c r="C10" s="374">
        <v>3302.895</v>
      </c>
      <c r="D10" s="374">
        <v>3300.712</v>
      </c>
      <c r="E10" s="374">
        <v>3309.1750000000002</v>
      </c>
      <c r="F10" s="374">
        <v>3316.1210000000001</v>
      </c>
      <c r="G10" s="374">
        <v>3324.1439999999998</v>
      </c>
      <c r="H10" s="374">
        <v>3336.6849999999999</v>
      </c>
      <c r="I10" s="374">
        <v>3349.348</v>
      </c>
      <c r="J10" s="374">
        <v>3365.3519999999999</v>
      </c>
      <c r="K10" s="374">
        <v>3386.4009999999998</v>
      </c>
      <c r="L10" s="374">
        <v>3411.777</v>
      </c>
      <c r="M10" s="374">
        <v>3432.835</v>
      </c>
      <c r="N10" s="374">
        <v>3458.7489999999998</v>
      </c>
      <c r="O10" s="374">
        <v>3484.3359999999998</v>
      </c>
      <c r="P10" s="374">
        <v>3496.0940000000001</v>
      </c>
      <c r="Q10" s="374">
        <v>3506.9560000000001</v>
      </c>
      <c r="R10" s="374">
        <v>3517.46</v>
      </c>
      <c r="S10" s="374">
        <v>3527.27</v>
      </c>
      <c r="T10" s="374">
        <v>3545.5790000000002</v>
      </c>
      <c r="U10" s="374">
        <v>3561.8069999999998</v>
      </c>
      <c r="V10" s="374">
        <v>3579.1729999999998</v>
      </c>
      <c r="W10" s="374">
        <v>3588.6320000000001</v>
      </c>
      <c r="X10" s="374">
        <v>3595.2109999999998</v>
      </c>
      <c r="Y10" s="374">
        <v>3595.7919999999999</v>
      </c>
      <c r="Z10" s="374">
        <v>3595.6970000000001</v>
      </c>
      <c r="AA10" s="374">
        <v>3588.5610000000001</v>
      </c>
      <c r="AB10" s="374">
        <v>3579.83</v>
      </c>
      <c r="AC10" s="374">
        <v>3575.3240000000001</v>
      </c>
      <c r="AD10" s="374">
        <v>3574.5610000000001</v>
      </c>
      <c r="AE10" s="374">
        <v>3566.0219999999999</v>
      </c>
      <c r="AF10" s="374">
        <v>3557.0059999999999</v>
      </c>
      <c r="AG10" s="412">
        <f t="shared" ref="AG10:AK10" si="6">AF10</f>
        <v>3557.0059999999999</v>
      </c>
      <c r="AH10" s="412">
        <f t="shared" si="6"/>
        <v>3557.0059999999999</v>
      </c>
      <c r="AI10" s="412">
        <f t="shared" si="6"/>
        <v>3557.0059999999999</v>
      </c>
      <c r="AJ10" s="412">
        <f t="shared" si="6"/>
        <v>3557.0059999999999</v>
      </c>
      <c r="AK10" s="413">
        <f t="shared" si="6"/>
        <v>3557.0059999999999</v>
      </c>
      <c r="AL10" s="374"/>
      <c r="AT10" s="174"/>
      <c r="AU10" s="174"/>
      <c r="AV10" s="174"/>
      <c r="AW10" s="174"/>
      <c r="AX10" s="174"/>
      <c r="AY10" s="174"/>
    </row>
    <row r="11" spans="1:51" ht="12.5">
      <c r="A11" s="384" t="s">
        <v>260</v>
      </c>
      <c r="B11" s="375">
        <v>669.56700000000001</v>
      </c>
      <c r="C11" s="374">
        <v>683.08</v>
      </c>
      <c r="D11" s="374">
        <v>694.92499999999995</v>
      </c>
      <c r="E11" s="374">
        <v>706.37800000000004</v>
      </c>
      <c r="F11" s="374">
        <v>717.54499999999996</v>
      </c>
      <c r="G11" s="374">
        <v>729.73400000000004</v>
      </c>
      <c r="H11" s="374">
        <v>740.97699999999998</v>
      </c>
      <c r="I11" s="374">
        <v>751.48699999999997</v>
      </c>
      <c r="J11" s="374">
        <v>763.33500000000004</v>
      </c>
      <c r="K11" s="374">
        <v>774.99</v>
      </c>
      <c r="L11" s="374">
        <v>786.37300000000005</v>
      </c>
      <c r="M11" s="374">
        <v>795.69899999999996</v>
      </c>
      <c r="N11" s="374">
        <v>806.16899999999998</v>
      </c>
      <c r="O11" s="374">
        <v>818.00300000000004</v>
      </c>
      <c r="P11" s="374">
        <v>830.803</v>
      </c>
      <c r="Q11" s="374">
        <v>845.15</v>
      </c>
      <c r="R11" s="374">
        <v>859.26800000000003</v>
      </c>
      <c r="S11" s="374">
        <v>871.74900000000002</v>
      </c>
      <c r="T11" s="374">
        <v>883.87400000000002</v>
      </c>
      <c r="U11" s="374">
        <v>891.73</v>
      </c>
      <c r="V11" s="374">
        <v>899.64700000000005</v>
      </c>
      <c r="W11" s="374">
        <v>907.59</v>
      </c>
      <c r="X11" s="374">
        <v>915.51800000000003</v>
      </c>
      <c r="Y11" s="374">
        <v>924.06200000000001</v>
      </c>
      <c r="Z11" s="374">
        <v>933.13099999999997</v>
      </c>
      <c r="AA11" s="374">
        <v>942.06500000000005</v>
      </c>
      <c r="AB11" s="374">
        <v>949.98900000000003</v>
      </c>
      <c r="AC11" s="374">
        <v>957.94200000000001</v>
      </c>
      <c r="AD11" s="374">
        <v>966.98500000000001</v>
      </c>
      <c r="AE11" s="374">
        <v>976.66800000000001</v>
      </c>
      <c r="AF11" s="374">
        <v>986.80899999999997</v>
      </c>
      <c r="AG11" s="412">
        <f t="shared" ref="AG11:AK11" si="7">AF11</f>
        <v>986.80899999999997</v>
      </c>
      <c r="AH11" s="412">
        <f t="shared" si="7"/>
        <v>986.80899999999997</v>
      </c>
      <c r="AI11" s="412">
        <f t="shared" si="7"/>
        <v>986.80899999999997</v>
      </c>
      <c r="AJ11" s="412">
        <f t="shared" si="7"/>
        <v>986.80899999999997</v>
      </c>
      <c r="AK11" s="413">
        <f t="shared" si="7"/>
        <v>986.80899999999997</v>
      </c>
      <c r="AL11" s="374"/>
      <c r="AT11" s="174"/>
      <c r="AU11" s="174"/>
      <c r="AV11" s="174"/>
      <c r="AW11" s="174"/>
      <c r="AX11" s="174"/>
      <c r="AY11" s="174"/>
    </row>
    <row r="12" spans="1:51" ht="12.5">
      <c r="A12" s="384" t="s">
        <v>261</v>
      </c>
      <c r="B12" s="375">
        <v>605.32100000000003</v>
      </c>
      <c r="C12" s="374">
        <v>600.87</v>
      </c>
      <c r="D12" s="374">
        <v>597.56500000000005</v>
      </c>
      <c r="E12" s="374">
        <v>595.30100000000004</v>
      </c>
      <c r="F12" s="374">
        <v>589.23900000000003</v>
      </c>
      <c r="G12" s="374">
        <v>580.51700000000005</v>
      </c>
      <c r="H12" s="374">
        <v>572.37699999999995</v>
      </c>
      <c r="I12" s="374">
        <v>567.73599999999999</v>
      </c>
      <c r="J12" s="374">
        <v>565.23</v>
      </c>
      <c r="K12" s="374">
        <v>570.21299999999997</v>
      </c>
      <c r="L12" s="374">
        <v>572.04600000000005</v>
      </c>
      <c r="M12" s="374">
        <v>574.50400000000002</v>
      </c>
      <c r="N12" s="374">
        <v>573.15800000000002</v>
      </c>
      <c r="O12" s="374">
        <v>568.50199999999995</v>
      </c>
      <c r="P12" s="374">
        <v>567.75400000000002</v>
      </c>
      <c r="Q12" s="374">
        <v>567.13599999999997</v>
      </c>
      <c r="R12" s="374">
        <v>570.68100000000004</v>
      </c>
      <c r="S12" s="374">
        <v>574.404</v>
      </c>
      <c r="T12" s="374">
        <v>580.23599999999999</v>
      </c>
      <c r="U12" s="374">
        <v>592.22799999999995</v>
      </c>
      <c r="V12" s="374">
        <v>605.28200000000004</v>
      </c>
      <c r="W12" s="374">
        <v>620.29</v>
      </c>
      <c r="X12" s="374">
        <v>635.73699999999997</v>
      </c>
      <c r="Y12" s="374">
        <v>651.55899999999997</v>
      </c>
      <c r="Z12" s="374">
        <v>663.60299999999995</v>
      </c>
      <c r="AA12" s="374">
        <v>677.01400000000001</v>
      </c>
      <c r="AB12" s="374">
        <v>687.57600000000002</v>
      </c>
      <c r="AC12" s="374">
        <v>697.07899999999995</v>
      </c>
      <c r="AD12" s="374">
        <v>704.14700000000005</v>
      </c>
      <c r="AE12" s="374">
        <v>708.25300000000004</v>
      </c>
      <c r="AF12" s="374">
        <v>712.81600000000003</v>
      </c>
      <c r="AG12" s="412">
        <f t="shared" ref="AG12:AK12" si="8">AF12</f>
        <v>712.81600000000003</v>
      </c>
      <c r="AH12" s="412">
        <f t="shared" si="8"/>
        <v>712.81600000000003</v>
      </c>
      <c r="AI12" s="412">
        <f t="shared" si="8"/>
        <v>712.81600000000003</v>
      </c>
      <c r="AJ12" s="412">
        <f t="shared" si="8"/>
        <v>712.81600000000003</v>
      </c>
      <c r="AK12" s="413">
        <f t="shared" si="8"/>
        <v>712.81600000000003</v>
      </c>
      <c r="AL12" s="374"/>
      <c r="AT12" s="174"/>
      <c r="AU12" s="174"/>
      <c r="AV12" s="174"/>
      <c r="AW12" s="174"/>
      <c r="AX12" s="174"/>
      <c r="AY12" s="174"/>
    </row>
    <row r="13" spans="1:51" ht="12.5">
      <c r="A13" s="384" t="s">
        <v>262</v>
      </c>
      <c r="B13" s="375">
        <v>13033.307000000001</v>
      </c>
      <c r="C13" s="374">
        <v>13369.798000000001</v>
      </c>
      <c r="D13" s="374">
        <v>13650.553</v>
      </c>
      <c r="E13" s="374">
        <v>13927.184999999999</v>
      </c>
      <c r="F13" s="374">
        <v>14239.444</v>
      </c>
      <c r="G13" s="374">
        <v>14537.875</v>
      </c>
      <c r="H13" s="374">
        <v>14853.36</v>
      </c>
      <c r="I13" s="374">
        <v>15186.304</v>
      </c>
      <c r="J13" s="374">
        <v>15486.558999999999</v>
      </c>
      <c r="K13" s="374">
        <v>15759.421</v>
      </c>
      <c r="L13" s="374">
        <v>16047.514999999999</v>
      </c>
      <c r="M13" s="374">
        <v>16356.966</v>
      </c>
      <c r="N13" s="374">
        <v>16689.37</v>
      </c>
      <c r="O13" s="374">
        <v>17004.084999999999</v>
      </c>
      <c r="P13" s="374">
        <v>17415.317999999999</v>
      </c>
      <c r="Q13" s="374">
        <v>17842.038</v>
      </c>
      <c r="R13" s="374">
        <v>18166.990000000002</v>
      </c>
      <c r="S13" s="374">
        <v>18367.842000000001</v>
      </c>
      <c r="T13" s="374">
        <v>18527.305</v>
      </c>
      <c r="U13" s="374">
        <v>18652.644</v>
      </c>
      <c r="V13" s="374">
        <v>18846.143</v>
      </c>
      <c r="W13" s="374">
        <v>19055.607</v>
      </c>
      <c r="X13" s="374">
        <v>19302.016</v>
      </c>
      <c r="Y13" s="374">
        <v>19551.678</v>
      </c>
      <c r="Z13" s="374">
        <v>19853.88</v>
      </c>
      <c r="AA13" s="374">
        <v>20219.111000000001</v>
      </c>
      <c r="AB13" s="374">
        <v>20627.237000000001</v>
      </c>
      <c r="AC13" s="374">
        <v>20977.089</v>
      </c>
      <c r="AD13" s="374">
        <v>21254.925999999999</v>
      </c>
      <c r="AE13" s="374">
        <v>21492.056</v>
      </c>
      <c r="AF13" s="374">
        <v>21733.312000000002</v>
      </c>
      <c r="AG13" s="412">
        <f t="shared" ref="AG13:AK13" si="9">AF13</f>
        <v>21733.312000000002</v>
      </c>
      <c r="AH13" s="412">
        <f t="shared" si="9"/>
        <v>21733.312000000002</v>
      </c>
      <c r="AI13" s="412">
        <f t="shared" si="9"/>
        <v>21733.312000000002</v>
      </c>
      <c r="AJ13" s="412">
        <f t="shared" si="9"/>
        <v>21733.312000000002</v>
      </c>
      <c r="AK13" s="413">
        <f t="shared" si="9"/>
        <v>21733.312000000002</v>
      </c>
      <c r="AL13" s="374"/>
      <c r="AT13" s="174"/>
      <c r="AU13" s="174"/>
      <c r="AV13" s="174"/>
      <c r="AW13" s="174"/>
      <c r="AX13" s="174"/>
      <c r="AY13" s="174"/>
    </row>
    <row r="14" spans="1:51" ht="12.5">
      <c r="A14" s="384" t="s">
        <v>263</v>
      </c>
      <c r="B14" s="375">
        <v>6512.6019999999999</v>
      </c>
      <c r="C14" s="374">
        <v>6653.0050000000001</v>
      </c>
      <c r="D14" s="374">
        <v>6817.2030000000004</v>
      </c>
      <c r="E14" s="374">
        <v>6978.24</v>
      </c>
      <c r="F14" s="374">
        <v>7157.165</v>
      </c>
      <c r="G14" s="374">
        <v>7328.4129999999996</v>
      </c>
      <c r="H14" s="374">
        <v>7501.0690000000004</v>
      </c>
      <c r="I14" s="374">
        <v>7685.0990000000002</v>
      </c>
      <c r="J14" s="374">
        <v>7863.5360000000001</v>
      </c>
      <c r="K14" s="374">
        <v>8045.9650000000001</v>
      </c>
      <c r="L14" s="374">
        <v>8227.3029999999999</v>
      </c>
      <c r="M14" s="374">
        <v>8377.0380000000005</v>
      </c>
      <c r="N14" s="374">
        <v>8508.2559999999994</v>
      </c>
      <c r="O14" s="374">
        <v>8622.7929999999997</v>
      </c>
      <c r="P14" s="374">
        <v>8769.2520000000004</v>
      </c>
      <c r="Q14" s="374">
        <v>8925.9220000000005</v>
      </c>
      <c r="R14" s="374">
        <v>9155.8130000000001</v>
      </c>
      <c r="S14" s="374">
        <v>9349.9879999999994</v>
      </c>
      <c r="T14" s="374">
        <v>9504.8430000000008</v>
      </c>
      <c r="U14" s="374">
        <v>9620.8459999999995</v>
      </c>
      <c r="V14" s="374">
        <v>9712.2090000000007</v>
      </c>
      <c r="W14" s="374">
        <v>9803.6299999999992</v>
      </c>
      <c r="X14" s="374">
        <v>9903.58</v>
      </c>
      <c r="Y14" s="374">
        <v>9975.5920000000006</v>
      </c>
      <c r="Z14" s="374">
        <v>10071.204</v>
      </c>
      <c r="AA14" s="374">
        <v>10183.352999999999</v>
      </c>
      <c r="AB14" s="374">
        <v>10308.441999999999</v>
      </c>
      <c r="AC14" s="374">
        <v>10417.031000000001</v>
      </c>
      <c r="AD14" s="374">
        <v>10519.388999999999</v>
      </c>
      <c r="AE14" s="374">
        <v>10628.02</v>
      </c>
      <c r="AF14" s="374">
        <v>10710.017</v>
      </c>
      <c r="AG14" s="412">
        <f t="shared" ref="AG14:AK14" si="10">AF14</f>
        <v>10710.017</v>
      </c>
      <c r="AH14" s="412">
        <f t="shared" si="10"/>
        <v>10710.017</v>
      </c>
      <c r="AI14" s="412">
        <f t="shared" si="10"/>
        <v>10710.017</v>
      </c>
      <c r="AJ14" s="412">
        <f t="shared" si="10"/>
        <v>10710.017</v>
      </c>
      <c r="AK14" s="413">
        <f t="shared" si="10"/>
        <v>10710.017</v>
      </c>
      <c r="AL14" s="374"/>
      <c r="AT14" s="174"/>
      <c r="AU14" s="174"/>
      <c r="AV14" s="174"/>
      <c r="AW14" s="174"/>
      <c r="AX14" s="174"/>
      <c r="AY14" s="174"/>
    </row>
    <row r="15" spans="1:51" ht="12.5">
      <c r="A15" s="384" t="s">
        <v>264</v>
      </c>
      <c r="B15" s="375">
        <v>1113.491</v>
      </c>
      <c r="C15" s="374">
        <v>1136.7539999999999</v>
      </c>
      <c r="D15" s="374">
        <v>1158.6130000000001</v>
      </c>
      <c r="E15" s="374">
        <v>1172.838</v>
      </c>
      <c r="F15" s="374">
        <v>1187.5360000000001</v>
      </c>
      <c r="G15" s="374">
        <v>1196.854</v>
      </c>
      <c r="H15" s="374">
        <v>1203.7550000000001</v>
      </c>
      <c r="I15" s="374">
        <v>1211.6400000000001</v>
      </c>
      <c r="J15" s="374">
        <v>1215.2329999999999</v>
      </c>
      <c r="K15" s="374">
        <v>1210.3</v>
      </c>
      <c r="L15" s="374">
        <v>1213.519</v>
      </c>
      <c r="M15" s="374">
        <v>1225.9480000000001</v>
      </c>
      <c r="N15" s="374">
        <v>1239.6130000000001</v>
      </c>
      <c r="O15" s="374">
        <v>1251.154</v>
      </c>
      <c r="P15" s="374">
        <v>1273.569</v>
      </c>
      <c r="Q15" s="374">
        <v>1292.729</v>
      </c>
      <c r="R15" s="374">
        <v>1309.731</v>
      </c>
      <c r="S15" s="374">
        <v>1315.675</v>
      </c>
      <c r="T15" s="374">
        <v>1332.213</v>
      </c>
      <c r="U15" s="374">
        <v>1346.7170000000001</v>
      </c>
      <c r="V15" s="374">
        <v>1364.0039999999999</v>
      </c>
      <c r="W15" s="374">
        <v>1379.5619999999999</v>
      </c>
      <c r="X15" s="374">
        <v>1395.1990000000001</v>
      </c>
      <c r="Y15" s="374">
        <v>1408.8219999999999</v>
      </c>
      <c r="Z15" s="374">
        <v>1415.335</v>
      </c>
      <c r="AA15" s="374">
        <v>1422.999</v>
      </c>
      <c r="AB15" s="374">
        <v>1428.885</v>
      </c>
      <c r="AC15" s="374">
        <v>1425.7629999999999</v>
      </c>
      <c r="AD15" s="374">
        <v>1423.1020000000001</v>
      </c>
      <c r="AE15" s="374">
        <v>1415.615</v>
      </c>
      <c r="AF15" s="374">
        <v>1407.0060000000001</v>
      </c>
      <c r="AG15" s="412">
        <f t="shared" ref="AG15:AK15" si="11">AF15</f>
        <v>1407.0060000000001</v>
      </c>
      <c r="AH15" s="412">
        <f t="shared" si="11"/>
        <v>1407.0060000000001</v>
      </c>
      <c r="AI15" s="412">
        <f t="shared" si="11"/>
        <v>1407.0060000000001</v>
      </c>
      <c r="AJ15" s="412">
        <f t="shared" si="11"/>
        <v>1407.0060000000001</v>
      </c>
      <c r="AK15" s="413">
        <f t="shared" si="11"/>
        <v>1407.0060000000001</v>
      </c>
      <c r="AL15" s="374"/>
      <c r="AT15" s="174"/>
      <c r="AU15" s="174"/>
      <c r="AV15" s="174"/>
      <c r="AW15" s="174"/>
      <c r="AX15" s="174"/>
      <c r="AY15" s="174"/>
    </row>
    <row r="16" spans="1:51" ht="12.5">
      <c r="A16" s="384" t="s">
        <v>265</v>
      </c>
      <c r="B16" s="375">
        <v>1012.384</v>
      </c>
      <c r="C16" s="374">
        <v>1041.316</v>
      </c>
      <c r="D16" s="374">
        <v>1071.6849999999999</v>
      </c>
      <c r="E16" s="374">
        <v>1108.768</v>
      </c>
      <c r="F16" s="374">
        <v>1145.1400000000001</v>
      </c>
      <c r="G16" s="374">
        <v>1177.3219999999999</v>
      </c>
      <c r="H16" s="374">
        <v>1203.0830000000001</v>
      </c>
      <c r="I16" s="374">
        <v>1228.52</v>
      </c>
      <c r="J16" s="374">
        <v>1252.33</v>
      </c>
      <c r="K16" s="374">
        <v>1275.674</v>
      </c>
      <c r="L16" s="374">
        <v>1299.43</v>
      </c>
      <c r="M16" s="374">
        <v>1319.962</v>
      </c>
      <c r="N16" s="374">
        <v>1340.3720000000001</v>
      </c>
      <c r="O16" s="374">
        <v>1363.38</v>
      </c>
      <c r="P16" s="374">
        <v>1391.8019999999999</v>
      </c>
      <c r="Q16" s="374">
        <v>1428.241</v>
      </c>
      <c r="R16" s="374">
        <v>1468.6690000000001</v>
      </c>
      <c r="S16" s="374">
        <v>1505.105</v>
      </c>
      <c r="T16" s="374">
        <v>1534.32</v>
      </c>
      <c r="U16" s="374">
        <v>1554.4390000000001</v>
      </c>
      <c r="V16" s="374">
        <v>1570.819</v>
      </c>
      <c r="W16" s="374">
        <v>1584.2719999999999</v>
      </c>
      <c r="X16" s="374">
        <v>1595.91</v>
      </c>
      <c r="Y16" s="374">
        <v>1612.0530000000001</v>
      </c>
      <c r="Z16" s="374">
        <v>1632.248</v>
      </c>
      <c r="AA16" s="374">
        <v>1652.4949999999999</v>
      </c>
      <c r="AB16" s="374">
        <v>1684.0360000000001</v>
      </c>
      <c r="AC16" s="374">
        <v>1719.7449999999999</v>
      </c>
      <c r="AD16" s="374">
        <v>1752.0740000000001</v>
      </c>
      <c r="AE16" s="374">
        <v>1789.06</v>
      </c>
      <c r="AF16" s="374">
        <v>1826.913</v>
      </c>
      <c r="AG16" s="412">
        <f t="shared" ref="AG16:AK16" si="12">AF16</f>
        <v>1826.913</v>
      </c>
      <c r="AH16" s="412">
        <f t="shared" si="12"/>
        <v>1826.913</v>
      </c>
      <c r="AI16" s="412">
        <f t="shared" si="12"/>
        <v>1826.913</v>
      </c>
      <c r="AJ16" s="412">
        <f t="shared" si="12"/>
        <v>1826.913</v>
      </c>
      <c r="AK16" s="413">
        <f t="shared" si="12"/>
        <v>1826.913</v>
      </c>
      <c r="AL16" s="374"/>
      <c r="AT16" s="174"/>
      <c r="AU16" s="174"/>
      <c r="AV16" s="174"/>
      <c r="AW16" s="174"/>
      <c r="AX16" s="174"/>
      <c r="AY16" s="174"/>
    </row>
    <row r="17" spans="1:51" ht="12.5">
      <c r="A17" s="384" t="s">
        <v>266</v>
      </c>
      <c r="B17" s="375">
        <v>11453.316000000001</v>
      </c>
      <c r="C17" s="374">
        <v>11568.964</v>
      </c>
      <c r="D17" s="374">
        <v>11694.183999999999</v>
      </c>
      <c r="E17" s="374">
        <v>11809.579</v>
      </c>
      <c r="F17" s="374">
        <v>11912.584999999999</v>
      </c>
      <c r="G17" s="374">
        <v>12008.437</v>
      </c>
      <c r="H17" s="374">
        <v>12101.996999999999</v>
      </c>
      <c r="I17" s="374">
        <v>12185.715</v>
      </c>
      <c r="J17" s="374">
        <v>12271.847</v>
      </c>
      <c r="K17" s="374">
        <v>12359.02</v>
      </c>
      <c r="L17" s="374">
        <v>12434.161</v>
      </c>
      <c r="M17" s="374">
        <v>12488.445</v>
      </c>
      <c r="N17" s="374">
        <v>12525.556</v>
      </c>
      <c r="O17" s="374">
        <v>12556.005999999999</v>
      </c>
      <c r="P17" s="374">
        <v>12589.772999999999</v>
      </c>
      <c r="Q17" s="374">
        <v>12609.903</v>
      </c>
      <c r="R17" s="374">
        <v>12643.955</v>
      </c>
      <c r="S17" s="374">
        <v>12695.866</v>
      </c>
      <c r="T17" s="374">
        <v>12747.038</v>
      </c>
      <c r="U17" s="374">
        <v>12796.778</v>
      </c>
      <c r="V17" s="374">
        <v>12840.545</v>
      </c>
      <c r="W17" s="374">
        <v>12867.782999999999</v>
      </c>
      <c r="X17" s="374">
        <v>12883.029</v>
      </c>
      <c r="Y17" s="374">
        <v>12895.778</v>
      </c>
      <c r="Z17" s="374">
        <v>12885.092000000001</v>
      </c>
      <c r="AA17" s="374">
        <v>12859.584999999999</v>
      </c>
      <c r="AB17" s="374">
        <v>12821.709000000001</v>
      </c>
      <c r="AC17" s="374">
        <v>12779.893</v>
      </c>
      <c r="AD17" s="374">
        <v>12724.684999999999</v>
      </c>
      <c r="AE17" s="374">
        <v>12667.017</v>
      </c>
      <c r="AF17" s="374">
        <v>12587.53</v>
      </c>
      <c r="AG17" s="412">
        <f t="shared" ref="AG17:AK17" si="13">AF17</f>
        <v>12587.53</v>
      </c>
      <c r="AH17" s="412">
        <f t="shared" si="13"/>
        <v>12587.53</v>
      </c>
      <c r="AI17" s="412">
        <f t="shared" si="13"/>
        <v>12587.53</v>
      </c>
      <c r="AJ17" s="412">
        <f t="shared" si="13"/>
        <v>12587.53</v>
      </c>
      <c r="AK17" s="413">
        <f t="shared" si="13"/>
        <v>12587.53</v>
      </c>
      <c r="AL17" s="374"/>
      <c r="AT17" s="174"/>
      <c r="AU17" s="174"/>
      <c r="AV17" s="174"/>
      <c r="AW17" s="174"/>
      <c r="AX17" s="174"/>
      <c r="AY17" s="174"/>
    </row>
    <row r="18" spans="1:51" ht="12.5">
      <c r="A18" s="384" t="s">
        <v>267</v>
      </c>
      <c r="B18" s="375">
        <v>5557.7979999999998</v>
      </c>
      <c r="C18" s="374">
        <v>5616.3879999999999</v>
      </c>
      <c r="D18" s="374">
        <v>5674.5469999999996</v>
      </c>
      <c r="E18" s="374">
        <v>5739.0190000000002</v>
      </c>
      <c r="F18" s="374">
        <v>5793.5259999999998</v>
      </c>
      <c r="G18" s="374">
        <v>5851.4589999999998</v>
      </c>
      <c r="H18" s="374">
        <v>5906.0129999999999</v>
      </c>
      <c r="I18" s="374">
        <v>5955.2669999999998</v>
      </c>
      <c r="J18" s="374">
        <v>5998.88</v>
      </c>
      <c r="K18" s="374">
        <v>6044.9690000000001</v>
      </c>
      <c r="L18" s="374">
        <v>6091.866</v>
      </c>
      <c r="M18" s="374">
        <v>6127.76</v>
      </c>
      <c r="N18" s="374">
        <v>6155.9669999999996</v>
      </c>
      <c r="O18" s="374">
        <v>6196.6379999999999</v>
      </c>
      <c r="P18" s="374">
        <v>6233.0069999999996</v>
      </c>
      <c r="Q18" s="374">
        <v>6278.616</v>
      </c>
      <c r="R18" s="374">
        <v>6332.6689999999999</v>
      </c>
      <c r="S18" s="374">
        <v>6379.5990000000002</v>
      </c>
      <c r="T18" s="374">
        <v>6424.8059999999996</v>
      </c>
      <c r="U18" s="374">
        <v>6459.3249999999998</v>
      </c>
      <c r="V18" s="374">
        <v>6490.5550000000003</v>
      </c>
      <c r="W18" s="374">
        <v>6517.25</v>
      </c>
      <c r="X18" s="374">
        <v>6538.9889999999996</v>
      </c>
      <c r="Y18" s="374">
        <v>6570.5749999999998</v>
      </c>
      <c r="Z18" s="374">
        <v>6596.0190000000002</v>
      </c>
      <c r="AA18" s="374">
        <v>6611.442</v>
      </c>
      <c r="AB18" s="374">
        <v>6637.8980000000001</v>
      </c>
      <c r="AC18" s="374">
        <v>6662.0680000000002</v>
      </c>
      <c r="AD18" s="374">
        <v>6698.4809999999998</v>
      </c>
      <c r="AE18" s="374">
        <v>6731.01</v>
      </c>
      <c r="AF18" s="374">
        <v>6754.9530000000004</v>
      </c>
      <c r="AG18" s="412">
        <f t="shared" ref="AG18:AK18" si="14">AF18</f>
        <v>6754.9530000000004</v>
      </c>
      <c r="AH18" s="412">
        <f t="shared" si="14"/>
        <v>6754.9530000000004</v>
      </c>
      <c r="AI18" s="412">
        <f t="shared" si="14"/>
        <v>6754.9530000000004</v>
      </c>
      <c r="AJ18" s="412">
        <f t="shared" si="14"/>
        <v>6754.9530000000004</v>
      </c>
      <c r="AK18" s="413">
        <f t="shared" si="14"/>
        <v>6754.9530000000004</v>
      </c>
      <c r="AL18" s="374"/>
      <c r="AT18" s="174"/>
      <c r="AU18" s="174"/>
      <c r="AV18" s="174"/>
      <c r="AW18" s="174"/>
      <c r="AX18" s="174"/>
      <c r="AY18" s="174"/>
    </row>
    <row r="19" spans="1:51" ht="12.5">
      <c r="A19" s="384" t="s">
        <v>268</v>
      </c>
      <c r="B19" s="375">
        <v>2781.018</v>
      </c>
      <c r="C19" s="374">
        <v>2797.6129999999998</v>
      </c>
      <c r="D19" s="374">
        <v>2818.4009999999998</v>
      </c>
      <c r="E19" s="374">
        <v>2836.9720000000002</v>
      </c>
      <c r="F19" s="374">
        <v>2850.7460000000001</v>
      </c>
      <c r="G19" s="374">
        <v>2867.373</v>
      </c>
      <c r="H19" s="374">
        <v>2880</v>
      </c>
      <c r="I19" s="374">
        <v>2891.1190000000001</v>
      </c>
      <c r="J19" s="374">
        <v>2902.8719999999998</v>
      </c>
      <c r="K19" s="374">
        <v>2917.634</v>
      </c>
      <c r="L19" s="374">
        <v>2929.067</v>
      </c>
      <c r="M19" s="374">
        <v>2931.9969999999998</v>
      </c>
      <c r="N19" s="374">
        <v>2934.2339999999999</v>
      </c>
      <c r="O19" s="374">
        <v>2941.9989999999998</v>
      </c>
      <c r="P19" s="374">
        <v>2953.6350000000002</v>
      </c>
      <c r="Q19" s="374">
        <v>2964.4540000000002</v>
      </c>
      <c r="R19" s="374">
        <v>2982.6439999999998</v>
      </c>
      <c r="S19" s="374">
        <v>2999.212</v>
      </c>
      <c r="T19" s="374">
        <v>3016.7339999999999</v>
      </c>
      <c r="U19" s="374">
        <v>3032.87</v>
      </c>
      <c r="V19" s="374">
        <v>3050.819</v>
      </c>
      <c r="W19" s="374">
        <v>3066.7719999999999</v>
      </c>
      <c r="X19" s="374">
        <v>3076.8440000000001</v>
      </c>
      <c r="Y19" s="374">
        <v>3093.9349999999999</v>
      </c>
      <c r="Z19" s="374">
        <v>3110.643</v>
      </c>
      <c r="AA19" s="374">
        <v>3122.5410000000002</v>
      </c>
      <c r="AB19" s="374">
        <v>3133.21</v>
      </c>
      <c r="AC19" s="374">
        <v>3143.7339999999999</v>
      </c>
      <c r="AD19" s="374">
        <v>3149.9</v>
      </c>
      <c r="AE19" s="374">
        <v>3159.596</v>
      </c>
      <c r="AF19" s="374">
        <v>3163.5610000000001</v>
      </c>
      <c r="AG19" s="412">
        <f t="shared" ref="AG19:AK19" si="15">AF19</f>
        <v>3163.5610000000001</v>
      </c>
      <c r="AH19" s="412">
        <f t="shared" si="15"/>
        <v>3163.5610000000001</v>
      </c>
      <c r="AI19" s="412">
        <f t="shared" si="15"/>
        <v>3163.5610000000001</v>
      </c>
      <c r="AJ19" s="412">
        <f t="shared" si="15"/>
        <v>3163.5610000000001</v>
      </c>
      <c r="AK19" s="413">
        <f t="shared" si="15"/>
        <v>3163.5610000000001</v>
      </c>
      <c r="AL19" s="374"/>
      <c r="AT19" s="174"/>
      <c r="AU19" s="174"/>
      <c r="AV19" s="174"/>
      <c r="AW19" s="174"/>
      <c r="AX19" s="174"/>
      <c r="AY19" s="174"/>
    </row>
    <row r="20" spans="1:51" ht="12.5">
      <c r="A20" s="384" t="s">
        <v>269</v>
      </c>
      <c r="B20" s="375">
        <v>2481.3490000000002</v>
      </c>
      <c r="C20" s="374">
        <v>2498.7220000000002</v>
      </c>
      <c r="D20" s="374">
        <v>2532.3939999999998</v>
      </c>
      <c r="E20" s="374">
        <v>2556.547</v>
      </c>
      <c r="F20" s="374">
        <v>2580.5129999999999</v>
      </c>
      <c r="G20" s="374">
        <v>2601.0070000000001</v>
      </c>
      <c r="H20" s="374">
        <v>2614.5540000000001</v>
      </c>
      <c r="I20" s="374">
        <v>2635.2919999999999</v>
      </c>
      <c r="J20" s="374">
        <v>2660.598</v>
      </c>
      <c r="K20" s="374">
        <v>2678.3380000000002</v>
      </c>
      <c r="L20" s="374">
        <v>2693.681</v>
      </c>
      <c r="M20" s="374">
        <v>2702.1619999999998</v>
      </c>
      <c r="N20" s="374">
        <v>2713.5349999999999</v>
      </c>
      <c r="O20" s="374">
        <v>2723.0039999999999</v>
      </c>
      <c r="P20" s="374">
        <v>2734.373</v>
      </c>
      <c r="Q20" s="374">
        <v>2745.299</v>
      </c>
      <c r="R20" s="374">
        <v>2762.931</v>
      </c>
      <c r="S20" s="374">
        <v>2783.7849999999999</v>
      </c>
      <c r="T20" s="374">
        <v>2808.076</v>
      </c>
      <c r="U20" s="374">
        <v>2832.7040000000002</v>
      </c>
      <c r="V20" s="374">
        <v>2858.2660000000001</v>
      </c>
      <c r="W20" s="374">
        <v>2869.6770000000001</v>
      </c>
      <c r="X20" s="374">
        <v>2886.0239999999999</v>
      </c>
      <c r="Y20" s="374">
        <v>2894.306</v>
      </c>
      <c r="Z20" s="374">
        <v>2901.8609999999999</v>
      </c>
      <c r="AA20" s="374">
        <v>2910.7170000000001</v>
      </c>
      <c r="AB20" s="374">
        <v>2912.9769999999999</v>
      </c>
      <c r="AC20" s="374">
        <v>2910.8919999999998</v>
      </c>
      <c r="AD20" s="374">
        <v>2912.748</v>
      </c>
      <c r="AE20" s="374">
        <v>2912.6350000000002</v>
      </c>
      <c r="AF20" s="374">
        <v>2913.8049999999998</v>
      </c>
      <c r="AG20" s="412">
        <f t="shared" ref="AG20:AK20" si="16">AF20</f>
        <v>2913.8049999999998</v>
      </c>
      <c r="AH20" s="412">
        <f t="shared" si="16"/>
        <v>2913.8049999999998</v>
      </c>
      <c r="AI20" s="412">
        <f t="shared" si="16"/>
        <v>2913.8049999999998</v>
      </c>
      <c r="AJ20" s="412">
        <f t="shared" si="16"/>
        <v>2913.8049999999998</v>
      </c>
      <c r="AK20" s="413">
        <f t="shared" si="16"/>
        <v>2913.8049999999998</v>
      </c>
      <c r="AL20" s="374"/>
      <c r="AT20" s="174"/>
      <c r="AU20" s="174"/>
      <c r="AV20" s="174"/>
      <c r="AW20" s="174"/>
      <c r="AX20" s="174"/>
      <c r="AY20" s="174"/>
    </row>
    <row r="21" spans="1:51" ht="12.5">
      <c r="A21" s="384" t="s">
        <v>270</v>
      </c>
      <c r="B21" s="375">
        <v>3694.0479999999998</v>
      </c>
      <c r="C21" s="374">
        <v>3722.328</v>
      </c>
      <c r="D21" s="374">
        <v>3765.4690000000001</v>
      </c>
      <c r="E21" s="374">
        <v>3812.2060000000001</v>
      </c>
      <c r="F21" s="374">
        <v>3849.0880000000002</v>
      </c>
      <c r="G21" s="374">
        <v>3887.4270000000001</v>
      </c>
      <c r="H21" s="374">
        <v>3919.5349999999999</v>
      </c>
      <c r="I21" s="374">
        <v>3952.7469999999998</v>
      </c>
      <c r="J21" s="374">
        <v>3985.39</v>
      </c>
      <c r="K21" s="374">
        <v>4018.0529999999999</v>
      </c>
      <c r="L21" s="374">
        <v>4049.0210000000002</v>
      </c>
      <c r="M21" s="374">
        <v>4068.1320000000001</v>
      </c>
      <c r="N21" s="374">
        <v>4089.875</v>
      </c>
      <c r="O21" s="374">
        <v>4117.17</v>
      </c>
      <c r="P21" s="374">
        <v>4146.1009999999997</v>
      </c>
      <c r="Q21" s="374">
        <v>4182.7420000000002</v>
      </c>
      <c r="R21" s="374">
        <v>4219.2389999999996</v>
      </c>
      <c r="S21" s="374">
        <v>4256.6719999999996</v>
      </c>
      <c r="T21" s="374">
        <v>4289.8779999999997</v>
      </c>
      <c r="U21" s="374">
        <v>4317.0739999999996</v>
      </c>
      <c r="V21" s="374">
        <v>4348.4639999999999</v>
      </c>
      <c r="W21" s="374">
        <v>4370.817</v>
      </c>
      <c r="X21" s="374">
        <v>4387.8649999999998</v>
      </c>
      <c r="Y21" s="374">
        <v>4406.9059999999999</v>
      </c>
      <c r="Z21" s="374">
        <v>4416.9920000000002</v>
      </c>
      <c r="AA21" s="374">
        <v>4429.1260000000002</v>
      </c>
      <c r="AB21" s="374">
        <v>4440.3059999999996</v>
      </c>
      <c r="AC21" s="374">
        <v>4455.59</v>
      </c>
      <c r="AD21" s="374">
        <v>4464.2730000000001</v>
      </c>
      <c r="AE21" s="374">
        <v>4472.3450000000003</v>
      </c>
      <c r="AF21" s="374">
        <v>4477.2510000000002</v>
      </c>
      <c r="AG21" s="412">
        <f t="shared" ref="AG21:AK21" si="17">AF21</f>
        <v>4477.2510000000002</v>
      </c>
      <c r="AH21" s="412">
        <f t="shared" si="17"/>
        <v>4477.2510000000002</v>
      </c>
      <c r="AI21" s="412">
        <f t="shared" si="17"/>
        <v>4477.2510000000002</v>
      </c>
      <c r="AJ21" s="412">
        <f t="shared" si="17"/>
        <v>4477.2510000000002</v>
      </c>
      <c r="AK21" s="413">
        <f t="shared" si="17"/>
        <v>4477.2510000000002</v>
      </c>
      <c r="AL21" s="374"/>
      <c r="AT21" s="174"/>
      <c r="AU21" s="174"/>
      <c r="AV21" s="174"/>
      <c r="AW21" s="174"/>
      <c r="AX21" s="174"/>
      <c r="AY21" s="174"/>
    </row>
    <row r="22" spans="1:51" ht="12.5">
      <c r="A22" s="384" t="s">
        <v>271</v>
      </c>
      <c r="B22" s="375">
        <v>4221.5320000000002</v>
      </c>
      <c r="C22" s="374">
        <v>4253.2790000000005</v>
      </c>
      <c r="D22" s="374">
        <v>4293.0029999999997</v>
      </c>
      <c r="E22" s="374">
        <v>4316.4279999999999</v>
      </c>
      <c r="F22" s="374">
        <v>4347.4809999999998</v>
      </c>
      <c r="G22" s="374">
        <v>4378.7790000000005</v>
      </c>
      <c r="H22" s="374">
        <v>4398.8770000000004</v>
      </c>
      <c r="I22" s="374">
        <v>4421.0709999999999</v>
      </c>
      <c r="J22" s="374">
        <v>4440.3440000000001</v>
      </c>
      <c r="K22" s="374">
        <v>4460.8109999999997</v>
      </c>
      <c r="L22" s="374">
        <v>4471.8850000000002</v>
      </c>
      <c r="M22" s="374">
        <v>4477.875</v>
      </c>
      <c r="N22" s="374">
        <v>4497.2669999999998</v>
      </c>
      <c r="O22" s="374">
        <v>4521.0420000000004</v>
      </c>
      <c r="P22" s="374">
        <v>4552.2380000000003</v>
      </c>
      <c r="Q22" s="374">
        <v>4576.6279999999997</v>
      </c>
      <c r="R22" s="374">
        <v>4302.665</v>
      </c>
      <c r="S22" s="374">
        <v>4375.5810000000001</v>
      </c>
      <c r="T22" s="374">
        <v>4435.5860000000002</v>
      </c>
      <c r="U22" s="374">
        <v>4491.6480000000001</v>
      </c>
      <c r="V22" s="374">
        <v>4544.6350000000002</v>
      </c>
      <c r="W22" s="374">
        <v>4576.2439999999997</v>
      </c>
      <c r="X22" s="374">
        <v>4602.067</v>
      </c>
      <c r="Y22" s="374">
        <v>4626.04</v>
      </c>
      <c r="Z22" s="374">
        <v>4645.9380000000001</v>
      </c>
      <c r="AA22" s="374">
        <v>4666.9979999999996</v>
      </c>
      <c r="AB22" s="374">
        <v>4681.3459999999995</v>
      </c>
      <c r="AC22" s="374">
        <v>4673.6729999999998</v>
      </c>
      <c r="AD22" s="374">
        <v>4664.45</v>
      </c>
      <c r="AE22" s="374">
        <v>4658.2849999999999</v>
      </c>
      <c r="AF22" s="374">
        <v>4645.3180000000002</v>
      </c>
      <c r="AG22" s="412">
        <f t="shared" ref="AG22:AK22" si="18">AF22</f>
        <v>4645.3180000000002</v>
      </c>
      <c r="AH22" s="412">
        <f t="shared" si="18"/>
        <v>4645.3180000000002</v>
      </c>
      <c r="AI22" s="412">
        <f t="shared" si="18"/>
        <v>4645.3180000000002</v>
      </c>
      <c r="AJ22" s="412">
        <f t="shared" si="18"/>
        <v>4645.3180000000002</v>
      </c>
      <c r="AK22" s="413">
        <f t="shared" si="18"/>
        <v>4645.3180000000002</v>
      </c>
      <c r="AL22" s="374"/>
      <c r="AT22" s="174"/>
      <c r="AU22" s="174"/>
      <c r="AV22" s="174"/>
      <c r="AW22" s="174"/>
      <c r="AX22" s="174"/>
      <c r="AY22" s="174"/>
    </row>
    <row r="23" spans="1:51" ht="12.5">
      <c r="A23" s="384" t="s">
        <v>272</v>
      </c>
      <c r="B23" s="375">
        <v>1231.7190000000001</v>
      </c>
      <c r="C23" s="374">
        <v>1237.0809999999999</v>
      </c>
      <c r="D23" s="374">
        <v>1238.508</v>
      </c>
      <c r="E23" s="374">
        <v>1242.3019999999999</v>
      </c>
      <c r="F23" s="374">
        <v>1242.662</v>
      </c>
      <c r="G23" s="374">
        <v>1243.48</v>
      </c>
      <c r="H23" s="374">
        <v>1249.06</v>
      </c>
      <c r="I23" s="374">
        <v>1254.7739999999999</v>
      </c>
      <c r="J23" s="374">
        <v>1259.127</v>
      </c>
      <c r="K23" s="374">
        <v>1266.808</v>
      </c>
      <c r="L23" s="374">
        <v>1277.0719999999999</v>
      </c>
      <c r="M23" s="374">
        <v>1285.692</v>
      </c>
      <c r="N23" s="374">
        <v>1295.96</v>
      </c>
      <c r="O23" s="374">
        <v>1306.5129999999999</v>
      </c>
      <c r="P23" s="374">
        <v>1313.6880000000001</v>
      </c>
      <c r="Q23" s="374">
        <v>1318.787</v>
      </c>
      <c r="R23" s="374">
        <v>1323.6189999999999</v>
      </c>
      <c r="S23" s="374">
        <v>1327.04</v>
      </c>
      <c r="T23" s="374">
        <v>1330.509</v>
      </c>
      <c r="U23" s="374">
        <v>1329.59</v>
      </c>
      <c r="V23" s="374">
        <v>1327.6510000000001</v>
      </c>
      <c r="W23" s="374">
        <v>1328.473</v>
      </c>
      <c r="X23" s="374">
        <v>1328.0940000000001</v>
      </c>
      <c r="Y23" s="374">
        <v>1328.5429999999999</v>
      </c>
      <c r="Z23" s="374">
        <v>1331.2170000000001</v>
      </c>
      <c r="AA23" s="374">
        <v>1329.098</v>
      </c>
      <c r="AB23" s="374">
        <v>1332.348</v>
      </c>
      <c r="AC23" s="374">
        <v>1335.7429999999999</v>
      </c>
      <c r="AD23" s="374">
        <v>1340.123</v>
      </c>
      <c r="AE23" s="374">
        <v>1345.77</v>
      </c>
      <c r="AF23" s="374">
        <v>1350.1410000000001</v>
      </c>
      <c r="AG23" s="412">
        <f t="shared" ref="AG23:AK23" si="19">AF23</f>
        <v>1350.1410000000001</v>
      </c>
      <c r="AH23" s="412">
        <f t="shared" si="19"/>
        <v>1350.1410000000001</v>
      </c>
      <c r="AI23" s="412">
        <f t="shared" si="19"/>
        <v>1350.1410000000001</v>
      </c>
      <c r="AJ23" s="412">
        <f t="shared" si="19"/>
        <v>1350.1410000000001</v>
      </c>
      <c r="AK23" s="413">
        <f t="shared" si="19"/>
        <v>1350.1410000000001</v>
      </c>
      <c r="AL23" s="374"/>
      <c r="AT23" s="174"/>
      <c r="AU23" s="174"/>
      <c r="AV23" s="174"/>
      <c r="AW23" s="174"/>
      <c r="AX23" s="174"/>
      <c r="AY23" s="174"/>
    </row>
    <row r="24" spans="1:51" ht="12.5">
      <c r="A24" s="384" t="s">
        <v>273</v>
      </c>
      <c r="B24" s="375">
        <v>4799.7700000000004</v>
      </c>
      <c r="C24" s="374">
        <v>4867.6409999999996</v>
      </c>
      <c r="D24" s="374">
        <v>4923.3680000000004</v>
      </c>
      <c r="E24" s="374">
        <v>4971.8890000000001</v>
      </c>
      <c r="F24" s="374">
        <v>5023.0600000000004</v>
      </c>
      <c r="G24" s="374">
        <v>5070.0330000000004</v>
      </c>
      <c r="H24" s="374">
        <v>5111.9859999999999</v>
      </c>
      <c r="I24" s="374">
        <v>5157.3280000000004</v>
      </c>
      <c r="J24" s="374">
        <v>5204.4639999999999</v>
      </c>
      <c r="K24" s="374">
        <v>5254.509</v>
      </c>
      <c r="L24" s="374">
        <v>5311.0339999999997</v>
      </c>
      <c r="M24" s="374">
        <v>5374.6909999999998</v>
      </c>
      <c r="N24" s="374">
        <v>5440.3890000000001</v>
      </c>
      <c r="O24" s="374">
        <v>5496.2690000000002</v>
      </c>
      <c r="P24" s="374">
        <v>5546.9350000000004</v>
      </c>
      <c r="Q24" s="374">
        <v>5592.3789999999999</v>
      </c>
      <c r="R24" s="374">
        <v>5627.3670000000002</v>
      </c>
      <c r="S24" s="374">
        <v>5653.4080000000004</v>
      </c>
      <c r="T24" s="374">
        <v>5684.9650000000001</v>
      </c>
      <c r="U24" s="374">
        <v>5730.3879999999999</v>
      </c>
      <c r="V24" s="374">
        <v>5788.7839999999997</v>
      </c>
      <c r="W24" s="374">
        <v>5840.241</v>
      </c>
      <c r="X24" s="374">
        <v>5888.375</v>
      </c>
      <c r="Y24" s="374">
        <v>5925.1970000000001</v>
      </c>
      <c r="Z24" s="374">
        <v>5960.0640000000003</v>
      </c>
      <c r="AA24" s="374">
        <v>5988.5280000000002</v>
      </c>
      <c r="AB24" s="374">
        <v>6007.0140000000001</v>
      </c>
      <c r="AC24" s="374">
        <v>6028.1859999999997</v>
      </c>
      <c r="AD24" s="374">
        <v>6042.1530000000002</v>
      </c>
      <c r="AE24" s="374">
        <v>6054.9539999999997</v>
      </c>
      <c r="AF24" s="374">
        <v>6055.8019999999997</v>
      </c>
      <c r="AG24" s="412">
        <f t="shared" ref="AG24:AK24" si="20">AF24</f>
        <v>6055.8019999999997</v>
      </c>
      <c r="AH24" s="412">
        <f t="shared" si="20"/>
        <v>6055.8019999999997</v>
      </c>
      <c r="AI24" s="412">
        <f t="shared" si="20"/>
        <v>6055.8019999999997</v>
      </c>
      <c r="AJ24" s="412">
        <f t="shared" si="20"/>
        <v>6055.8019999999997</v>
      </c>
      <c r="AK24" s="413">
        <f t="shared" si="20"/>
        <v>6055.8019999999997</v>
      </c>
      <c r="AL24" s="374"/>
      <c r="AT24" s="174"/>
      <c r="AU24" s="174"/>
      <c r="AV24" s="174"/>
      <c r="AW24" s="174"/>
      <c r="AX24" s="174"/>
      <c r="AY24" s="174"/>
    </row>
    <row r="25" spans="1:51" ht="12.5">
      <c r="A25" s="384" t="s">
        <v>274</v>
      </c>
      <c r="B25" s="375">
        <v>6022.6390000000001</v>
      </c>
      <c r="C25" s="374">
        <v>6018.47</v>
      </c>
      <c r="D25" s="374">
        <v>6028.7089999999998</v>
      </c>
      <c r="E25" s="374">
        <v>6060.5690000000004</v>
      </c>
      <c r="F25" s="374">
        <v>6095.241</v>
      </c>
      <c r="G25" s="374">
        <v>6141.4449999999997</v>
      </c>
      <c r="H25" s="374">
        <v>6179.7560000000003</v>
      </c>
      <c r="I25" s="374">
        <v>6226.058</v>
      </c>
      <c r="J25" s="374">
        <v>6271.8379999999997</v>
      </c>
      <c r="K25" s="374">
        <v>6317.3450000000003</v>
      </c>
      <c r="L25" s="374">
        <v>6361.1040000000003</v>
      </c>
      <c r="M25" s="374">
        <v>6397.634</v>
      </c>
      <c r="N25" s="374">
        <v>6417.2060000000001</v>
      </c>
      <c r="O25" s="374">
        <v>6422.5649999999996</v>
      </c>
      <c r="P25" s="374">
        <v>6412.2809999999999</v>
      </c>
      <c r="Q25" s="374">
        <v>6403.29</v>
      </c>
      <c r="R25" s="374">
        <v>6410.0839999999998</v>
      </c>
      <c r="S25" s="374">
        <v>6431.5590000000002</v>
      </c>
      <c r="T25" s="374">
        <v>6468.9669999999996</v>
      </c>
      <c r="U25" s="374">
        <v>6517.6130000000003</v>
      </c>
      <c r="V25" s="374">
        <v>6566.44</v>
      </c>
      <c r="W25" s="374">
        <v>6614.2179999999998</v>
      </c>
      <c r="X25" s="374">
        <v>6664.2690000000002</v>
      </c>
      <c r="Y25" s="374">
        <v>6715.1580000000004</v>
      </c>
      <c r="Z25" s="374">
        <v>6764.8639999999996</v>
      </c>
      <c r="AA25" s="374">
        <v>6797.4840000000004</v>
      </c>
      <c r="AB25" s="374">
        <v>6827.28</v>
      </c>
      <c r="AC25" s="374">
        <v>6863.56</v>
      </c>
      <c r="AD25" s="374">
        <v>6885.72</v>
      </c>
      <c r="AE25" s="374">
        <v>6894.8829999999998</v>
      </c>
      <c r="AF25" s="374">
        <v>6893.5739999999996</v>
      </c>
      <c r="AG25" s="412">
        <f t="shared" ref="AG25:AK25" si="21">AF25</f>
        <v>6893.5739999999996</v>
      </c>
      <c r="AH25" s="412">
        <f t="shared" si="21"/>
        <v>6893.5739999999996</v>
      </c>
      <c r="AI25" s="412">
        <f t="shared" si="21"/>
        <v>6893.5739999999996</v>
      </c>
      <c r="AJ25" s="412">
        <f t="shared" si="21"/>
        <v>6893.5739999999996</v>
      </c>
      <c r="AK25" s="413">
        <f t="shared" si="21"/>
        <v>6893.5739999999996</v>
      </c>
      <c r="AL25" s="374"/>
      <c r="AT25" s="174"/>
      <c r="AU25" s="174"/>
      <c r="AV25" s="174"/>
      <c r="AW25" s="174"/>
      <c r="AX25" s="174"/>
      <c r="AY25" s="174"/>
    </row>
    <row r="26" spans="1:51" ht="12.5">
      <c r="A26" s="384" t="s">
        <v>275</v>
      </c>
      <c r="B26" s="375">
        <v>9311.3189999999995</v>
      </c>
      <c r="C26" s="374">
        <v>9400.4459999999999</v>
      </c>
      <c r="D26" s="374">
        <v>9479.0650000000005</v>
      </c>
      <c r="E26" s="374">
        <v>9540.1139999999996</v>
      </c>
      <c r="F26" s="374">
        <v>9597.7369999999992</v>
      </c>
      <c r="G26" s="374">
        <v>9676.2109999999993</v>
      </c>
      <c r="H26" s="374">
        <v>9758.6450000000004</v>
      </c>
      <c r="I26" s="374">
        <v>9809.0509999999995</v>
      </c>
      <c r="J26" s="374">
        <v>9847.9419999999991</v>
      </c>
      <c r="K26" s="374">
        <v>9897.116</v>
      </c>
      <c r="L26" s="374">
        <v>9952.4500000000007</v>
      </c>
      <c r="M26" s="374">
        <v>9991.1200000000008</v>
      </c>
      <c r="N26" s="374">
        <v>10015.709999999999</v>
      </c>
      <c r="O26" s="374">
        <v>10041.152</v>
      </c>
      <c r="P26" s="374">
        <v>10055.315000000001</v>
      </c>
      <c r="Q26" s="374">
        <v>10051.137000000001</v>
      </c>
      <c r="R26" s="374">
        <v>10036.081</v>
      </c>
      <c r="S26" s="374">
        <v>10001.284</v>
      </c>
      <c r="T26" s="374">
        <v>9946.8889999999992</v>
      </c>
      <c r="U26" s="374">
        <v>9901.5910000000003</v>
      </c>
      <c r="V26" s="374">
        <v>9877.5969999999998</v>
      </c>
      <c r="W26" s="374">
        <v>9883.0529999999999</v>
      </c>
      <c r="X26" s="374">
        <v>9898.2890000000007</v>
      </c>
      <c r="Y26" s="374">
        <v>9914.8019999999997</v>
      </c>
      <c r="Z26" s="374">
        <v>9932.0329999999994</v>
      </c>
      <c r="AA26" s="374">
        <v>9934.4830000000002</v>
      </c>
      <c r="AB26" s="374">
        <v>9954.1170000000002</v>
      </c>
      <c r="AC26" s="374">
        <v>9976.7520000000004</v>
      </c>
      <c r="AD26" s="374">
        <v>9987.2860000000001</v>
      </c>
      <c r="AE26" s="374">
        <v>9984.7950000000001</v>
      </c>
      <c r="AF26" s="374">
        <v>9966.5550000000003</v>
      </c>
      <c r="AG26" s="412">
        <f t="shared" ref="AG26:AK26" si="22">AF26</f>
        <v>9966.5550000000003</v>
      </c>
      <c r="AH26" s="412">
        <f t="shared" si="22"/>
        <v>9966.5550000000003</v>
      </c>
      <c r="AI26" s="412">
        <f t="shared" si="22"/>
        <v>9966.5550000000003</v>
      </c>
      <c r="AJ26" s="412">
        <f t="shared" si="22"/>
        <v>9966.5550000000003</v>
      </c>
      <c r="AK26" s="413">
        <f t="shared" si="22"/>
        <v>9966.5550000000003</v>
      </c>
      <c r="AL26" s="374"/>
      <c r="AT26" s="174"/>
      <c r="AU26" s="174"/>
      <c r="AV26" s="174"/>
      <c r="AW26" s="174"/>
      <c r="AX26" s="174"/>
      <c r="AY26" s="174"/>
    </row>
    <row r="27" spans="1:51" ht="12.5">
      <c r="A27" s="384" t="s">
        <v>276</v>
      </c>
      <c r="B27" s="375">
        <v>4389.857</v>
      </c>
      <c r="C27" s="374">
        <v>4440.8590000000004</v>
      </c>
      <c r="D27" s="374">
        <v>4495.5720000000001</v>
      </c>
      <c r="E27" s="374">
        <v>4555.9539999999997</v>
      </c>
      <c r="F27" s="374">
        <v>4610.3549999999996</v>
      </c>
      <c r="G27" s="374">
        <v>4660.18</v>
      </c>
      <c r="H27" s="374">
        <v>4712.8270000000002</v>
      </c>
      <c r="I27" s="374">
        <v>4763.3900000000003</v>
      </c>
      <c r="J27" s="374">
        <v>4813.4120000000003</v>
      </c>
      <c r="K27" s="374">
        <v>4873.4809999999998</v>
      </c>
      <c r="L27" s="374">
        <v>4933.692</v>
      </c>
      <c r="M27" s="374">
        <v>4982.7960000000003</v>
      </c>
      <c r="N27" s="374">
        <v>5018.9350000000004</v>
      </c>
      <c r="O27" s="374">
        <v>5053.5720000000001</v>
      </c>
      <c r="P27" s="374">
        <v>5087.7129999999997</v>
      </c>
      <c r="Q27" s="374">
        <v>5119.598</v>
      </c>
      <c r="R27" s="374">
        <v>5163.5550000000003</v>
      </c>
      <c r="S27" s="374">
        <v>5207.2030000000004</v>
      </c>
      <c r="T27" s="374">
        <v>5247.018</v>
      </c>
      <c r="U27" s="374">
        <v>5281.2030000000004</v>
      </c>
      <c r="V27" s="374">
        <v>5310.9340000000002</v>
      </c>
      <c r="W27" s="374">
        <v>5346.62</v>
      </c>
      <c r="X27" s="374">
        <v>5377.5</v>
      </c>
      <c r="Y27" s="374">
        <v>5414.7219999999998</v>
      </c>
      <c r="Z27" s="374">
        <v>5452.665</v>
      </c>
      <c r="AA27" s="374">
        <v>5484.0020000000004</v>
      </c>
      <c r="AB27" s="374">
        <v>5525.36</v>
      </c>
      <c r="AC27" s="374">
        <v>5569.2830000000004</v>
      </c>
      <c r="AD27" s="374">
        <v>5608.7619999999997</v>
      </c>
      <c r="AE27" s="374">
        <v>5640.0529999999999</v>
      </c>
      <c r="AF27" s="374">
        <v>5657.3419999999996</v>
      </c>
      <c r="AG27" s="412">
        <f t="shared" ref="AG27:AK27" si="23">AF27</f>
        <v>5657.3419999999996</v>
      </c>
      <c r="AH27" s="412">
        <f t="shared" si="23"/>
        <v>5657.3419999999996</v>
      </c>
      <c r="AI27" s="412">
        <f t="shared" si="23"/>
        <v>5657.3419999999996</v>
      </c>
      <c r="AJ27" s="412">
        <f t="shared" si="23"/>
        <v>5657.3419999999996</v>
      </c>
      <c r="AK27" s="413">
        <f t="shared" si="23"/>
        <v>5657.3419999999996</v>
      </c>
      <c r="AL27" s="374"/>
      <c r="AT27" s="174"/>
      <c r="AU27" s="174"/>
      <c r="AV27" s="174"/>
      <c r="AW27" s="174"/>
      <c r="AX27" s="174"/>
      <c r="AY27" s="174"/>
    </row>
    <row r="28" spans="1:51" ht="12.5">
      <c r="A28" s="384" t="s">
        <v>277</v>
      </c>
      <c r="B28" s="375">
        <v>2578.8969999999999</v>
      </c>
      <c r="C28" s="374">
        <v>2598.7330000000002</v>
      </c>
      <c r="D28" s="374">
        <v>2623.7339999999999</v>
      </c>
      <c r="E28" s="374">
        <v>2655.1</v>
      </c>
      <c r="F28" s="374">
        <v>2688.9920000000002</v>
      </c>
      <c r="G28" s="374">
        <v>2722.6590000000001</v>
      </c>
      <c r="H28" s="374">
        <v>2748.085</v>
      </c>
      <c r="I28" s="374">
        <v>2777.0039999999999</v>
      </c>
      <c r="J28" s="374">
        <v>2804.8339999999998</v>
      </c>
      <c r="K28" s="374">
        <v>2828.4079999999999</v>
      </c>
      <c r="L28" s="374">
        <v>2848.3530000000001</v>
      </c>
      <c r="M28" s="374">
        <v>2852.9940000000001</v>
      </c>
      <c r="N28" s="374">
        <v>2858.681</v>
      </c>
      <c r="O28" s="374">
        <v>2868.3119999999999</v>
      </c>
      <c r="P28" s="374">
        <v>2889.01</v>
      </c>
      <c r="Q28" s="374">
        <v>2905.9430000000002</v>
      </c>
      <c r="R28" s="374">
        <v>2904.9780000000001</v>
      </c>
      <c r="S28" s="374">
        <v>2928.35</v>
      </c>
      <c r="T28" s="374">
        <v>2947.806</v>
      </c>
      <c r="U28" s="374">
        <v>2958.7739999999999</v>
      </c>
      <c r="V28" s="374">
        <v>2970.6149999999998</v>
      </c>
      <c r="W28" s="374">
        <v>2979.1469999999999</v>
      </c>
      <c r="X28" s="374">
        <v>2984.5990000000002</v>
      </c>
      <c r="Y28" s="374">
        <v>2989.8389999999999</v>
      </c>
      <c r="Z28" s="374">
        <v>2991.8919999999998</v>
      </c>
      <c r="AA28" s="374">
        <v>2990.2310000000002</v>
      </c>
      <c r="AB28" s="374">
        <v>2990.5949999999998</v>
      </c>
      <c r="AC28" s="374">
        <v>2990.674</v>
      </c>
      <c r="AD28" s="374">
        <v>2982.8789999999999</v>
      </c>
      <c r="AE28" s="374">
        <v>2978.2269999999999</v>
      </c>
      <c r="AF28" s="374">
        <v>2966.7860000000001</v>
      </c>
      <c r="AG28" s="412">
        <f t="shared" ref="AG28:AK28" si="24">AF28</f>
        <v>2966.7860000000001</v>
      </c>
      <c r="AH28" s="412">
        <f t="shared" si="24"/>
        <v>2966.7860000000001</v>
      </c>
      <c r="AI28" s="412">
        <f t="shared" si="24"/>
        <v>2966.7860000000001</v>
      </c>
      <c r="AJ28" s="412">
        <f t="shared" si="24"/>
        <v>2966.7860000000001</v>
      </c>
      <c r="AK28" s="413">
        <f t="shared" si="24"/>
        <v>2966.7860000000001</v>
      </c>
      <c r="AL28" s="374"/>
      <c r="AT28" s="174"/>
      <c r="AU28" s="174"/>
      <c r="AV28" s="174"/>
      <c r="AW28" s="174"/>
      <c r="AX28" s="174"/>
      <c r="AY28" s="174"/>
    </row>
    <row r="29" spans="1:51" ht="12.5">
      <c r="A29" s="384" t="s">
        <v>278</v>
      </c>
      <c r="B29" s="375">
        <v>5128.88</v>
      </c>
      <c r="C29" s="374">
        <v>5170.8</v>
      </c>
      <c r="D29" s="374">
        <v>5217.1009999999997</v>
      </c>
      <c r="E29" s="374">
        <v>5271.1750000000002</v>
      </c>
      <c r="F29" s="374">
        <v>5324.4970000000003</v>
      </c>
      <c r="G29" s="374">
        <v>5378.2470000000003</v>
      </c>
      <c r="H29" s="374">
        <v>5431.5529999999999</v>
      </c>
      <c r="I29" s="374">
        <v>5481.1930000000002</v>
      </c>
      <c r="J29" s="374">
        <v>5521.7650000000003</v>
      </c>
      <c r="K29" s="374">
        <v>5561.9480000000003</v>
      </c>
      <c r="L29" s="374">
        <v>5607.2849999999999</v>
      </c>
      <c r="M29" s="374">
        <v>5641.1419999999998</v>
      </c>
      <c r="N29" s="374">
        <v>5674.8249999999998</v>
      </c>
      <c r="O29" s="374">
        <v>5709.4030000000002</v>
      </c>
      <c r="P29" s="374">
        <v>5747.741</v>
      </c>
      <c r="Q29" s="374">
        <v>5790.3</v>
      </c>
      <c r="R29" s="374">
        <v>5842.7039999999997</v>
      </c>
      <c r="S29" s="374">
        <v>5887.6120000000001</v>
      </c>
      <c r="T29" s="374">
        <v>5923.9160000000002</v>
      </c>
      <c r="U29" s="374">
        <v>5961.0879999999997</v>
      </c>
      <c r="V29" s="374">
        <v>5996.0889999999999</v>
      </c>
      <c r="W29" s="374">
        <v>6011.1819999999998</v>
      </c>
      <c r="X29" s="374">
        <v>6026.027</v>
      </c>
      <c r="Y29" s="374">
        <v>6042.9889999999996</v>
      </c>
      <c r="Z29" s="374">
        <v>6059.13</v>
      </c>
      <c r="AA29" s="374">
        <v>6075.4110000000001</v>
      </c>
      <c r="AB29" s="374">
        <v>6091.384</v>
      </c>
      <c r="AC29" s="374">
        <v>6111.3819999999996</v>
      </c>
      <c r="AD29" s="374">
        <v>6125.9859999999999</v>
      </c>
      <c r="AE29" s="374">
        <v>6140.4750000000004</v>
      </c>
      <c r="AF29" s="374">
        <v>6151.5479999999998</v>
      </c>
      <c r="AG29" s="412">
        <f t="shared" ref="AG29:AK29" si="25">AF29</f>
        <v>6151.5479999999998</v>
      </c>
      <c r="AH29" s="412">
        <f t="shared" si="25"/>
        <v>6151.5479999999998</v>
      </c>
      <c r="AI29" s="412">
        <f t="shared" si="25"/>
        <v>6151.5479999999998</v>
      </c>
      <c r="AJ29" s="412">
        <f t="shared" si="25"/>
        <v>6151.5479999999998</v>
      </c>
      <c r="AK29" s="413">
        <f t="shared" si="25"/>
        <v>6151.5479999999998</v>
      </c>
      <c r="AL29" s="374"/>
      <c r="AT29" s="174"/>
      <c r="AU29" s="174"/>
      <c r="AV29" s="174"/>
      <c r="AW29" s="174"/>
      <c r="AX29" s="174"/>
      <c r="AY29" s="174"/>
    </row>
    <row r="30" spans="1:51" ht="12.5">
      <c r="A30" s="384" t="s">
        <v>279</v>
      </c>
      <c r="B30" s="375">
        <v>800.20399999999995</v>
      </c>
      <c r="C30" s="374">
        <v>809.68</v>
      </c>
      <c r="D30" s="374">
        <v>825.77</v>
      </c>
      <c r="E30" s="374">
        <v>844.76099999999997</v>
      </c>
      <c r="F30" s="374">
        <v>861.30600000000004</v>
      </c>
      <c r="G30" s="374">
        <v>876.553</v>
      </c>
      <c r="H30" s="374">
        <v>886.25400000000002</v>
      </c>
      <c r="I30" s="374">
        <v>889.86500000000001</v>
      </c>
      <c r="J30" s="374">
        <v>892.43100000000004</v>
      </c>
      <c r="K30" s="374">
        <v>897.50699999999995</v>
      </c>
      <c r="L30" s="374">
        <v>903.77300000000002</v>
      </c>
      <c r="M30" s="374">
        <v>906.96100000000001</v>
      </c>
      <c r="N30" s="374">
        <v>911.66700000000003</v>
      </c>
      <c r="O30" s="374">
        <v>919.63</v>
      </c>
      <c r="P30" s="374">
        <v>930.00900000000001</v>
      </c>
      <c r="Q30" s="374">
        <v>940.10199999999998</v>
      </c>
      <c r="R30" s="374">
        <v>952.69200000000001</v>
      </c>
      <c r="S30" s="374">
        <v>964.70600000000002</v>
      </c>
      <c r="T30" s="374">
        <v>976.41499999999996</v>
      </c>
      <c r="U30" s="374">
        <v>983.98199999999997</v>
      </c>
      <c r="V30" s="374">
        <v>990.73</v>
      </c>
      <c r="W30" s="374">
        <v>997.51800000000003</v>
      </c>
      <c r="X30" s="374">
        <v>1004.168</v>
      </c>
      <c r="Y30" s="374">
        <v>1014.158</v>
      </c>
      <c r="Z30" s="374">
        <v>1022.657</v>
      </c>
      <c r="AA30" s="374">
        <v>1031.4949999999999</v>
      </c>
      <c r="AB30" s="374">
        <v>1042.1369999999999</v>
      </c>
      <c r="AC30" s="374">
        <v>1053.8620000000001</v>
      </c>
      <c r="AD30" s="374">
        <v>1061.818</v>
      </c>
      <c r="AE30" s="374">
        <v>1070.123</v>
      </c>
      <c r="AF30" s="374">
        <v>1080.577</v>
      </c>
      <c r="AG30" s="412">
        <f t="shared" ref="AG30:AK30" si="26">AF30</f>
        <v>1080.577</v>
      </c>
      <c r="AH30" s="412">
        <f t="shared" si="26"/>
        <v>1080.577</v>
      </c>
      <c r="AI30" s="412">
        <f t="shared" si="26"/>
        <v>1080.577</v>
      </c>
      <c r="AJ30" s="412">
        <f t="shared" si="26"/>
        <v>1080.577</v>
      </c>
      <c r="AK30" s="413">
        <f t="shared" si="26"/>
        <v>1080.577</v>
      </c>
      <c r="AL30" s="374"/>
      <c r="AT30" s="174"/>
      <c r="AU30" s="174"/>
      <c r="AV30" s="174"/>
      <c r="AW30" s="174"/>
      <c r="AX30" s="174"/>
      <c r="AY30" s="174"/>
    </row>
    <row r="31" spans="1:51" ht="12.5">
      <c r="A31" s="384" t="s">
        <v>280</v>
      </c>
      <c r="B31" s="375">
        <v>1581.66</v>
      </c>
      <c r="C31" s="374">
        <v>1595.9190000000001</v>
      </c>
      <c r="D31" s="374">
        <v>1611.6869999999999</v>
      </c>
      <c r="E31" s="374">
        <v>1625.59</v>
      </c>
      <c r="F31" s="374">
        <v>1639.0409999999999</v>
      </c>
      <c r="G31" s="374">
        <v>1656.992</v>
      </c>
      <c r="H31" s="374">
        <v>1673.74</v>
      </c>
      <c r="I31" s="374">
        <v>1686.4179999999999</v>
      </c>
      <c r="J31" s="374">
        <v>1695.816</v>
      </c>
      <c r="K31" s="374">
        <v>1704.7639999999999</v>
      </c>
      <c r="L31" s="374">
        <v>1713.82</v>
      </c>
      <c r="M31" s="374">
        <v>1719.836</v>
      </c>
      <c r="N31" s="374">
        <v>1728.2919999999999</v>
      </c>
      <c r="O31" s="374">
        <v>1738.643</v>
      </c>
      <c r="P31" s="374">
        <v>1749.37</v>
      </c>
      <c r="Q31" s="374">
        <v>1761.4970000000001</v>
      </c>
      <c r="R31" s="374">
        <v>1772.693</v>
      </c>
      <c r="S31" s="374">
        <v>1783.44</v>
      </c>
      <c r="T31" s="374">
        <v>1796.3779999999999</v>
      </c>
      <c r="U31" s="374">
        <v>1812.683</v>
      </c>
      <c r="V31" s="374">
        <v>1829.5909999999999</v>
      </c>
      <c r="W31" s="374">
        <v>1840.914</v>
      </c>
      <c r="X31" s="374">
        <v>1853.691</v>
      </c>
      <c r="Y31" s="374">
        <v>1865.8130000000001</v>
      </c>
      <c r="Z31" s="374">
        <v>1879.9549999999999</v>
      </c>
      <c r="AA31" s="374">
        <v>1892.059</v>
      </c>
      <c r="AB31" s="374">
        <v>1906.4829999999999</v>
      </c>
      <c r="AC31" s="374">
        <v>1916.998</v>
      </c>
      <c r="AD31" s="374">
        <v>1925.5119999999999</v>
      </c>
      <c r="AE31" s="374">
        <v>1932.5709999999999</v>
      </c>
      <c r="AF31" s="374">
        <v>1937.5519999999999</v>
      </c>
      <c r="AG31" s="412">
        <f t="shared" ref="AG31:AK31" si="27">AF31</f>
        <v>1937.5519999999999</v>
      </c>
      <c r="AH31" s="412">
        <f t="shared" si="27"/>
        <v>1937.5519999999999</v>
      </c>
      <c r="AI31" s="412">
        <f t="shared" si="27"/>
        <v>1937.5519999999999</v>
      </c>
      <c r="AJ31" s="412">
        <f t="shared" si="27"/>
        <v>1937.5519999999999</v>
      </c>
      <c r="AK31" s="413">
        <f t="shared" si="27"/>
        <v>1937.5519999999999</v>
      </c>
      <c r="AL31" s="374"/>
      <c r="AT31" s="174"/>
      <c r="AU31" s="174"/>
      <c r="AV31" s="174"/>
      <c r="AW31" s="174"/>
      <c r="AX31" s="174"/>
      <c r="AY31" s="174"/>
    </row>
    <row r="32" spans="1:51" ht="12.5">
      <c r="A32" s="384" t="s">
        <v>281</v>
      </c>
      <c r="B32" s="375">
        <v>1220.6949999999999</v>
      </c>
      <c r="C32" s="374">
        <v>1296.171</v>
      </c>
      <c r="D32" s="374">
        <v>1351.367</v>
      </c>
      <c r="E32" s="374">
        <v>1411.2149999999999</v>
      </c>
      <c r="F32" s="374">
        <v>1499.298</v>
      </c>
      <c r="G32" s="374">
        <v>1581.578</v>
      </c>
      <c r="H32" s="374">
        <v>1666.32</v>
      </c>
      <c r="I32" s="374">
        <v>1764.104</v>
      </c>
      <c r="J32" s="374">
        <v>1853.191</v>
      </c>
      <c r="K32" s="374">
        <v>1934.7180000000001</v>
      </c>
      <c r="L32" s="374">
        <v>2018.741</v>
      </c>
      <c r="M32" s="374">
        <v>2098.3989999999999</v>
      </c>
      <c r="N32" s="374">
        <v>2173.7910000000002</v>
      </c>
      <c r="O32" s="374">
        <v>2248.85</v>
      </c>
      <c r="P32" s="374">
        <v>2346.2220000000002</v>
      </c>
      <c r="Q32" s="374">
        <v>2432.143</v>
      </c>
      <c r="R32" s="374">
        <v>2522.6579999999999</v>
      </c>
      <c r="S32" s="374">
        <v>2601.0720000000001</v>
      </c>
      <c r="T32" s="374">
        <v>2653.63</v>
      </c>
      <c r="U32" s="374">
        <v>2684.665</v>
      </c>
      <c r="V32" s="374">
        <v>2702.4830000000002</v>
      </c>
      <c r="W32" s="374">
        <v>2713.114</v>
      </c>
      <c r="X32" s="374">
        <v>2744.67</v>
      </c>
      <c r="Y32" s="374">
        <v>2776.9560000000001</v>
      </c>
      <c r="Z32" s="374">
        <v>2818.9349999999999</v>
      </c>
      <c r="AA32" s="374">
        <v>2868.5309999999999</v>
      </c>
      <c r="AB32" s="374">
        <v>2919.5549999999998</v>
      </c>
      <c r="AC32" s="374">
        <v>2972.0970000000002</v>
      </c>
      <c r="AD32" s="374">
        <v>3030.7249999999999</v>
      </c>
      <c r="AE32" s="374">
        <v>3090.7710000000002</v>
      </c>
      <c r="AF32" s="374">
        <v>3138.259</v>
      </c>
      <c r="AG32" s="412">
        <f t="shared" ref="AG32:AK32" si="28">AF32</f>
        <v>3138.259</v>
      </c>
      <c r="AH32" s="412">
        <f t="shared" si="28"/>
        <v>3138.259</v>
      </c>
      <c r="AI32" s="412">
        <f t="shared" si="28"/>
        <v>3138.259</v>
      </c>
      <c r="AJ32" s="412">
        <f t="shared" si="28"/>
        <v>3138.259</v>
      </c>
      <c r="AK32" s="413">
        <f t="shared" si="28"/>
        <v>3138.259</v>
      </c>
      <c r="AL32" s="374"/>
      <c r="AT32" s="174"/>
      <c r="AU32" s="174"/>
      <c r="AV32" s="174"/>
      <c r="AW32" s="174"/>
      <c r="AX32" s="174"/>
      <c r="AY32" s="174"/>
    </row>
    <row r="33" spans="1:51" ht="12.5">
      <c r="A33" s="384" t="s">
        <v>282</v>
      </c>
      <c r="B33" s="375">
        <v>1112.384</v>
      </c>
      <c r="C33" s="374">
        <v>1109.9290000000001</v>
      </c>
      <c r="D33" s="374">
        <v>1117.7840000000001</v>
      </c>
      <c r="E33" s="374">
        <v>1129.4580000000001</v>
      </c>
      <c r="F33" s="374">
        <v>1142.56</v>
      </c>
      <c r="G33" s="374">
        <v>1157.5609999999999</v>
      </c>
      <c r="H33" s="374">
        <v>1174.7190000000001</v>
      </c>
      <c r="I33" s="374">
        <v>1189.425</v>
      </c>
      <c r="J33" s="374">
        <v>1205.94</v>
      </c>
      <c r="K33" s="374">
        <v>1222.0139999999999</v>
      </c>
      <c r="L33" s="374">
        <v>1239.8820000000001</v>
      </c>
      <c r="M33" s="374">
        <v>1255.5170000000001</v>
      </c>
      <c r="N33" s="374">
        <v>1269.0889999999999</v>
      </c>
      <c r="O33" s="374">
        <v>1279.8399999999999</v>
      </c>
      <c r="P33" s="374">
        <v>1290.1210000000001</v>
      </c>
      <c r="Q33" s="374">
        <v>1298.492</v>
      </c>
      <c r="R33" s="374">
        <v>1308.3889999999999</v>
      </c>
      <c r="S33" s="374">
        <v>1312.54</v>
      </c>
      <c r="T33" s="374">
        <v>1315.9059999999999</v>
      </c>
      <c r="U33" s="374">
        <v>1316.1020000000001</v>
      </c>
      <c r="V33" s="374">
        <v>1316.807</v>
      </c>
      <c r="W33" s="374">
        <v>1320.444</v>
      </c>
      <c r="X33" s="374">
        <v>1324.6769999999999</v>
      </c>
      <c r="Y33" s="374">
        <v>1327.2719999999999</v>
      </c>
      <c r="Z33" s="374">
        <v>1334.2570000000001</v>
      </c>
      <c r="AA33" s="374">
        <v>1337.48</v>
      </c>
      <c r="AB33" s="374">
        <v>1343.694</v>
      </c>
      <c r="AC33" s="374">
        <v>1350.395</v>
      </c>
      <c r="AD33" s="374">
        <v>1355.0640000000001</v>
      </c>
      <c r="AE33" s="374">
        <v>1360.7829999999999</v>
      </c>
      <c r="AF33" s="374">
        <v>1366.2750000000001</v>
      </c>
      <c r="AG33" s="412">
        <f t="shared" ref="AG33:AK33" si="29">AF33</f>
        <v>1366.2750000000001</v>
      </c>
      <c r="AH33" s="412">
        <f t="shared" si="29"/>
        <v>1366.2750000000001</v>
      </c>
      <c r="AI33" s="412">
        <f t="shared" si="29"/>
        <v>1366.2750000000001</v>
      </c>
      <c r="AJ33" s="412">
        <f t="shared" si="29"/>
        <v>1366.2750000000001</v>
      </c>
      <c r="AK33" s="413">
        <f t="shared" si="29"/>
        <v>1366.2750000000001</v>
      </c>
      <c r="AL33" s="374"/>
      <c r="AT33" s="174"/>
      <c r="AU33" s="174"/>
      <c r="AV33" s="174"/>
      <c r="AW33" s="174"/>
      <c r="AX33" s="174"/>
      <c r="AY33" s="174"/>
    </row>
    <row r="34" spans="1:51" ht="12.5">
      <c r="A34" s="384" t="s">
        <v>283</v>
      </c>
      <c r="B34" s="375">
        <v>7762.9629999999997</v>
      </c>
      <c r="C34" s="374">
        <v>7814.6760000000004</v>
      </c>
      <c r="D34" s="374">
        <v>7880.5079999999998</v>
      </c>
      <c r="E34" s="374">
        <v>7948.915</v>
      </c>
      <c r="F34" s="374">
        <v>8014.3059999999996</v>
      </c>
      <c r="G34" s="374">
        <v>8083.2420000000002</v>
      </c>
      <c r="H34" s="374">
        <v>8149.5959999999995</v>
      </c>
      <c r="I34" s="374">
        <v>8218.8080000000009</v>
      </c>
      <c r="J34" s="374">
        <v>8287.4179999999997</v>
      </c>
      <c r="K34" s="374">
        <v>8359.5920000000006</v>
      </c>
      <c r="L34" s="374">
        <v>8430.6209999999992</v>
      </c>
      <c r="M34" s="374">
        <v>8492.6710000000003</v>
      </c>
      <c r="N34" s="374">
        <v>8552.643</v>
      </c>
      <c r="O34" s="374">
        <v>8601.402</v>
      </c>
      <c r="P34" s="374">
        <v>8634.5609999999997</v>
      </c>
      <c r="Q34" s="374">
        <v>8651.9740000000002</v>
      </c>
      <c r="R34" s="374">
        <v>8661.6790000000001</v>
      </c>
      <c r="S34" s="374">
        <v>8677.8850000000002</v>
      </c>
      <c r="T34" s="374">
        <v>8711.09</v>
      </c>
      <c r="U34" s="374">
        <v>8755.6020000000008</v>
      </c>
      <c r="V34" s="374">
        <v>8799.4509999999991</v>
      </c>
      <c r="W34" s="374">
        <v>8828.5519999999997</v>
      </c>
      <c r="X34" s="374">
        <v>8845.6710000000003</v>
      </c>
      <c r="Y34" s="374">
        <v>8857.8209999999999</v>
      </c>
      <c r="Z34" s="374">
        <v>8867.277</v>
      </c>
      <c r="AA34" s="374">
        <v>8870.3119999999999</v>
      </c>
      <c r="AB34" s="374">
        <v>8873.5840000000007</v>
      </c>
      <c r="AC34" s="374">
        <v>8888.1470000000008</v>
      </c>
      <c r="AD34" s="374">
        <v>8891.73</v>
      </c>
      <c r="AE34" s="374">
        <v>8891.2579999999998</v>
      </c>
      <c r="AF34" s="374">
        <v>8882.3709999999992</v>
      </c>
      <c r="AG34" s="412">
        <f t="shared" ref="AG34:AK34" si="30">AF34</f>
        <v>8882.3709999999992</v>
      </c>
      <c r="AH34" s="412">
        <f t="shared" si="30"/>
        <v>8882.3709999999992</v>
      </c>
      <c r="AI34" s="412">
        <f t="shared" si="30"/>
        <v>8882.3709999999992</v>
      </c>
      <c r="AJ34" s="412">
        <f t="shared" si="30"/>
        <v>8882.3709999999992</v>
      </c>
      <c r="AK34" s="413">
        <f t="shared" si="30"/>
        <v>8882.3709999999992</v>
      </c>
      <c r="AL34" s="374"/>
      <c r="AT34" s="174"/>
      <c r="AU34" s="174"/>
      <c r="AV34" s="174"/>
      <c r="AW34" s="174"/>
      <c r="AX34" s="174"/>
      <c r="AY34" s="174"/>
    </row>
    <row r="35" spans="1:51" ht="12.5">
      <c r="A35" s="384" t="s">
        <v>284</v>
      </c>
      <c r="B35" s="375">
        <v>1521.5740000000001</v>
      </c>
      <c r="C35" s="374">
        <v>1555.3050000000001</v>
      </c>
      <c r="D35" s="374">
        <v>1595.442</v>
      </c>
      <c r="E35" s="374">
        <v>1636.453</v>
      </c>
      <c r="F35" s="374">
        <v>1682.3979999999999</v>
      </c>
      <c r="G35" s="374">
        <v>1720.394</v>
      </c>
      <c r="H35" s="374">
        <v>1752.326</v>
      </c>
      <c r="I35" s="374">
        <v>1774.8389999999999</v>
      </c>
      <c r="J35" s="374">
        <v>1793.4839999999999</v>
      </c>
      <c r="K35" s="374">
        <v>1808.0820000000001</v>
      </c>
      <c r="L35" s="374">
        <v>1821.204</v>
      </c>
      <c r="M35" s="374">
        <v>1831.69</v>
      </c>
      <c r="N35" s="374">
        <v>1855.309</v>
      </c>
      <c r="O35" s="374">
        <v>1877.5740000000001</v>
      </c>
      <c r="P35" s="374">
        <v>1903.808</v>
      </c>
      <c r="Q35" s="374">
        <v>1932.2739999999999</v>
      </c>
      <c r="R35" s="374">
        <v>1962.1369999999999</v>
      </c>
      <c r="S35" s="374">
        <v>1990.07</v>
      </c>
      <c r="T35" s="374">
        <v>2010.662</v>
      </c>
      <c r="U35" s="374">
        <v>2036.8019999999999</v>
      </c>
      <c r="V35" s="374">
        <v>2064.614</v>
      </c>
      <c r="W35" s="374">
        <v>2080.7069999999999</v>
      </c>
      <c r="X35" s="374">
        <v>2087.7150000000001</v>
      </c>
      <c r="Y35" s="374">
        <v>2092.8330000000001</v>
      </c>
      <c r="Z35" s="374">
        <v>2090.2359999999999</v>
      </c>
      <c r="AA35" s="374">
        <v>2090.0709999999999</v>
      </c>
      <c r="AB35" s="374">
        <v>2092.5549999999998</v>
      </c>
      <c r="AC35" s="374">
        <v>2092.8440000000001</v>
      </c>
      <c r="AD35" s="374">
        <v>2093.7539999999999</v>
      </c>
      <c r="AE35" s="374">
        <v>2099.634</v>
      </c>
      <c r="AF35" s="374">
        <v>2106.319</v>
      </c>
      <c r="AG35" s="412">
        <f t="shared" ref="AG35:AK35" si="31">AF35</f>
        <v>2106.319</v>
      </c>
      <c r="AH35" s="412">
        <f t="shared" si="31"/>
        <v>2106.319</v>
      </c>
      <c r="AI35" s="412">
        <f t="shared" si="31"/>
        <v>2106.319</v>
      </c>
      <c r="AJ35" s="412">
        <f t="shared" si="31"/>
        <v>2106.319</v>
      </c>
      <c r="AK35" s="413">
        <f t="shared" si="31"/>
        <v>2106.319</v>
      </c>
      <c r="AL35" s="374"/>
      <c r="AT35" s="174"/>
      <c r="AU35" s="174"/>
      <c r="AV35" s="174"/>
      <c r="AW35" s="174"/>
      <c r="AX35" s="174"/>
      <c r="AY35" s="174"/>
    </row>
    <row r="36" spans="1:51" ht="12.5">
      <c r="A36" s="384" t="s">
        <v>285</v>
      </c>
      <c r="B36" s="375">
        <v>18020.784</v>
      </c>
      <c r="C36" s="374">
        <v>18122.509999999998</v>
      </c>
      <c r="D36" s="374">
        <v>18246.652999999998</v>
      </c>
      <c r="E36" s="374">
        <v>18374.954000000002</v>
      </c>
      <c r="F36" s="374">
        <v>18459.47</v>
      </c>
      <c r="G36" s="374">
        <v>18524.103999999999</v>
      </c>
      <c r="H36" s="374">
        <v>18588.46</v>
      </c>
      <c r="I36" s="374">
        <v>18656.545999999998</v>
      </c>
      <c r="J36" s="374">
        <v>18755.905999999999</v>
      </c>
      <c r="K36" s="374">
        <v>18882.724999999999</v>
      </c>
      <c r="L36" s="374">
        <v>19001.78</v>
      </c>
      <c r="M36" s="374">
        <v>19082.838</v>
      </c>
      <c r="N36" s="374">
        <v>19137.8</v>
      </c>
      <c r="O36" s="374">
        <v>19175.938999999998</v>
      </c>
      <c r="P36" s="374">
        <v>19171.566999999999</v>
      </c>
      <c r="Q36" s="374">
        <v>19132.61</v>
      </c>
      <c r="R36" s="374">
        <v>19104.631000000001</v>
      </c>
      <c r="S36" s="374">
        <v>19132.334999999999</v>
      </c>
      <c r="T36" s="374">
        <v>19212.436000000002</v>
      </c>
      <c r="U36" s="374">
        <v>19307.065999999999</v>
      </c>
      <c r="V36" s="374">
        <v>19399.955999999998</v>
      </c>
      <c r="W36" s="374">
        <v>19499.920999999998</v>
      </c>
      <c r="X36" s="374">
        <v>19574.362000000001</v>
      </c>
      <c r="Y36" s="374">
        <v>19626.488000000001</v>
      </c>
      <c r="Z36" s="374">
        <v>19653.431</v>
      </c>
      <c r="AA36" s="374">
        <v>19657.321</v>
      </c>
      <c r="AB36" s="374">
        <v>19636.391</v>
      </c>
      <c r="AC36" s="374">
        <v>19593.848999999998</v>
      </c>
      <c r="AD36" s="374">
        <v>19544.098000000002</v>
      </c>
      <c r="AE36" s="374">
        <v>19463.131000000001</v>
      </c>
      <c r="AF36" s="374">
        <v>19336.776000000002</v>
      </c>
      <c r="AG36" s="412">
        <f t="shared" ref="AG36:AK36" si="32">AF36</f>
        <v>19336.776000000002</v>
      </c>
      <c r="AH36" s="412">
        <f t="shared" si="32"/>
        <v>19336.776000000002</v>
      </c>
      <c r="AI36" s="412">
        <f t="shared" si="32"/>
        <v>19336.776000000002</v>
      </c>
      <c r="AJ36" s="412">
        <f t="shared" si="32"/>
        <v>19336.776000000002</v>
      </c>
      <c r="AK36" s="413">
        <f t="shared" si="32"/>
        <v>19336.776000000002</v>
      </c>
      <c r="AL36" s="374"/>
      <c r="AT36" s="174"/>
      <c r="AU36" s="174"/>
      <c r="AV36" s="174"/>
      <c r="AW36" s="174"/>
      <c r="AX36" s="174"/>
      <c r="AY36" s="174"/>
    </row>
    <row r="37" spans="1:51" ht="12.5">
      <c r="A37" s="384" t="s">
        <v>286</v>
      </c>
      <c r="B37" s="375">
        <v>6664.0159999999996</v>
      </c>
      <c r="C37" s="374">
        <v>6784.28</v>
      </c>
      <c r="D37" s="374">
        <v>6897.2139999999999</v>
      </c>
      <c r="E37" s="374">
        <v>7042.8180000000002</v>
      </c>
      <c r="F37" s="374">
        <v>7187.3980000000001</v>
      </c>
      <c r="G37" s="374">
        <v>7344.674</v>
      </c>
      <c r="H37" s="374">
        <v>7500.67</v>
      </c>
      <c r="I37" s="374">
        <v>7656.8249999999998</v>
      </c>
      <c r="J37" s="374">
        <v>7809.1210000000001</v>
      </c>
      <c r="K37" s="374">
        <v>7949.3609999999999</v>
      </c>
      <c r="L37" s="374">
        <v>8081.6139999999996</v>
      </c>
      <c r="M37" s="374">
        <v>8210.1219999999994</v>
      </c>
      <c r="N37" s="374">
        <v>8326.2009999999991</v>
      </c>
      <c r="O37" s="374">
        <v>8422.5010000000002</v>
      </c>
      <c r="P37" s="374">
        <v>8553.152</v>
      </c>
      <c r="Q37" s="374">
        <v>8705.4069999999992</v>
      </c>
      <c r="R37" s="374">
        <v>8917.27</v>
      </c>
      <c r="S37" s="374">
        <v>9118.0370000000003</v>
      </c>
      <c r="T37" s="374">
        <v>9309.4490000000005</v>
      </c>
      <c r="U37" s="374">
        <v>9449.5660000000007</v>
      </c>
      <c r="V37" s="374">
        <v>9574.5859999999993</v>
      </c>
      <c r="W37" s="374">
        <v>9658.9130000000005</v>
      </c>
      <c r="X37" s="374">
        <v>9751.81</v>
      </c>
      <c r="Y37" s="374">
        <v>9846.7170000000006</v>
      </c>
      <c r="Z37" s="374">
        <v>9937.2950000000001</v>
      </c>
      <c r="AA37" s="374">
        <v>10037.218000000001</v>
      </c>
      <c r="AB37" s="374">
        <v>10161.802</v>
      </c>
      <c r="AC37" s="374">
        <v>10275.758</v>
      </c>
      <c r="AD37" s="374">
        <v>10391.358</v>
      </c>
      <c r="AE37" s="374">
        <v>10501.384</v>
      </c>
      <c r="AF37" s="374">
        <v>10600.823</v>
      </c>
      <c r="AG37" s="412">
        <f t="shared" ref="AG37:AK37" si="33">AF37</f>
        <v>10600.823</v>
      </c>
      <c r="AH37" s="412">
        <f t="shared" si="33"/>
        <v>10600.823</v>
      </c>
      <c r="AI37" s="412">
        <f t="shared" si="33"/>
        <v>10600.823</v>
      </c>
      <c r="AJ37" s="412">
        <f t="shared" si="33"/>
        <v>10600.823</v>
      </c>
      <c r="AK37" s="413">
        <f t="shared" si="33"/>
        <v>10600.823</v>
      </c>
      <c r="AL37" s="374"/>
      <c r="AT37" s="174"/>
      <c r="AU37" s="174"/>
      <c r="AV37" s="174"/>
      <c r="AW37" s="174"/>
      <c r="AX37" s="174"/>
      <c r="AY37" s="174"/>
    </row>
    <row r="38" spans="1:51" ht="12.5">
      <c r="A38" s="384" t="s">
        <v>287</v>
      </c>
      <c r="B38" s="375">
        <v>637.68499999999995</v>
      </c>
      <c r="C38" s="374">
        <v>635.75300000000004</v>
      </c>
      <c r="D38" s="374">
        <v>638.22299999999996</v>
      </c>
      <c r="E38" s="374">
        <v>641.21600000000001</v>
      </c>
      <c r="F38" s="374">
        <v>644.80399999999997</v>
      </c>
      <c r="G38" s="374">
        <v>647.83199999999999</v>
      </c>
      <c r="H38" s="374">
        <v>650.38199999999995</v>
      </c>
      <c r="I38" s="374">
        <v>649.71600000000001</v>
      </c>
      <c r="J38" s="374">
        <v>647.53200000000004</v>
      </c>
      <c r="K38" s="374">
        <v>644.25900000000001</v>
      </c>
      <c r="L38" s="374">
        <v>642.02300000000002</v>
      </c>
      <c r="M38" s="374">
        <v>639.06200000000001</v>
      </c>
      <c r="N38" s="374">
        <v>638.16800000000001</v>
      </c>
      <c r="O38" s="374">
        <v>638.81700000000001</v>
      </c>
      <c r="P38" s="374">
        <v>644.70500000000004</v>
      </c>
      <c r="Q38" s="374">
        <v>646.08900000000006</v>
      </c>
      <c r="R38" s="374">
        <v>649.42200000000003</v>
      </c>
      <c r="S38" s="374">
        <v>652.822</v>
      </c>
      <c r="T38" s="374">
        <v>657.56899999999996</v>
      </c>
      <c r="U38" s="374">
        <v>664.96799999999996</v>
      </c>
      <c r="V38" s="374">
        <v>674.75199999999995</v>
      </c>
      <c r="W38" s="374">
        <v>685.52599999999995</v>
      </c>
      <c r="X38" s="374">
        <v>702.22699999999998</v>
      </c>
      <c r="Y38" s="374">
        <v>723.149</v>
      </c>
      <c r="Z38" s="374">
        <v>738.73599999999999</v>
      </c>
      <c r="AA38" s="374">
        <v>755.53700000000003</v>
      </c>
      <c r="AB38" s="374">
        <v>756.11400000000003</v>
      </c>
      <c r="AC38" s="374">
        <v>756.755</v>
      </c>
      <c r="AD38" s="374">
        <v>760.06200000000001</v>
      </c>
      <c r="AE38" s="374">
        <v>763.72400000000005</v>
      </c>
      <c r="AF38" s="374">
        <v>765.30899999999997</v>
      </c>
      <c r="AG38" s="412">
        <f t="shared" ref="AG38:AK38" si="34">AF38</f>
        <v>765.30899999999997</v>
      </c>
      <c r="AH38" s="412">
        <f t="shared" si="34"/>
        <v>765.30899999999997</v>
      </c>
      <c r="AI38" s="412">
        <f t="shared" si="34"/>
        <v>765.30899999999997</v>
      </c>
      <c r="AJ38" s="412">
        <f t="shared" si="34"/>
        <v>765.30899999999997</v>
      </c>
      <c r="AK38" s="413">
        <f t="shared" si="34"/>
        <v>765.30899999999997</v>
      </c>
      <c r="AL38" s="374"/>
      <c r="AT38" s="174"/>
      <c r="AU38" s="174"/>
      <c r="AV38" s="174"/>
      <c r="AW38" s="174"/>
      <c r="AX38" s="174"/>
      <c r="AY38" s="174"/>
    </row>
    <row r="39" spans="1:51" ht="12.5">
      <c r="A39" s="384" t="s">
        <v>288</v>
      </c>
      <c r="B39" s="375">
        <v>10864.162</v>
      </c>
      <c r="C39" s="374">
        <v>10945.762000000001</v>
      </c>
      <c r="D39" s="374">
        <v>11029.431</v>
      </c>
      <c r="E39" s="374">
        <v>11101.14</v>
      </c>
      <c r="F39" s="374">
        <v>11152.454</v>
      </c>
      <c r="G39" s="374">
        <v>11202.751</v>
      </c>
      <c r="H39" s="374">
        <v>11242.826999999999</v>
      </c>
      <c r="I39" s="374">
        <v>11277.357</v>
      </c>
      <c r="J39" s="374">
        <v>11311.536</v>
      </c>
      <c r="K39" s="374">
        <v>11335.454</v>
      </c>
      <c r="L39" s="374">
        <v>11363.543</v>
      </c>
      <c r="M39" s="374">
        <v>11387.404</v>
      </c>
      <c r="N39" s="374">
        <v>11407.888999999999</v>
      </c>
      <c r="O39" s="374">
        <v>11434.788</v>
      </c>
      <c r="P39" s="374">
        <v>11452.251</v>
      </c>
      <c r="Q39" s="374">
        <v>11463.32</v>
      </c>
      <c r="R39" s="374">
        <v>11481.213</v>
      </c>
      <c r="S39" s="374">
        <v>11500.468000000001</v>
      </c>
      <c r="T39" s="374">
        <v>11515.391</v>
      </c>
      <c r="U39" s="374">
        <v>11528.896000000001</v>
      </c>
      <c r="V39" s="374">
        <v>11539.449000000001</v>
      </c>
      <c r="W39" s="374">
        <v>11545.735000000001</v>
      </c>
      <c r="X39" s="374">
        <v>11550.971</v>
      </c>
      <c r="Y39" s="374">
        <v>11579.691999999999</v>
      </c>
      <c r="Z39" s="374">
        <v>11606.573</v>
      </c>
      <c r="AA39" s="374">
        <v>11622.315000000001</v>
      </c>
      <c r="AB39" s="374">
        <v>11640.06</v>
      </c>
      <c r="AC39" s="374">
        <v>11665.706</v>
      </c>
      <c r="AD39" s="374">
        <v>11680.892</v>
      </c>
      <c r="AE39" s="374">
        <v>11696.507</v>
      </c>
      <c r="AF39" s="374">
        <v>11693.217000000001</v>
      </c>
      <c r="AG39" s="412">
        <f t="shared" ref="AG39:AK39" si="35">AF39</f>
        <v>11693.217000000001</v>
      </c>
      <c r="AH39" s="412">
        <f t="shared" si="35"/>
        <v>11693.217000000001</v>
      </c>
      <c r="AI39" s="412">
        <f t="shared" si="35"/>
        <v>11693.217000000001</v>
      </c>
      <c r="AJ39" s="412">
        <f t="shared" si="35"/>
        <v>11693.217000000001</v>
      </c>
      <c r="AK39" s="413">
        <f t="shared" si="35"/>
        <v>11693.217000000001</v>
      </c>
      <c r="AL39" s="374"/>
      <c r="AT39" s="174"/>
      <c r="AU39" s="174"/>
      <c r="AV39" s="174"/>
      <c r="AW39" s="174"/>
      <c r="AX39" s="174"/>
      <c r="AY39" s="174"/>
    </row>
    <row r="40" spans="1:51" ht="12.5">
      <c r="A40" s="384" t="s">
        <v>289</v>
      </c>
      <c r="B40" s="375">
        <v>3148.8249999999998</v>
      </c>
      <c r="C40" s="374">
        <v>3175.44</v>
      </c>
      <c r="D40" s="374">
        <v>3220.5169999999998</v>
      </c>
      <c r="E40" s="374">
        <v>3252.2849999999999</v>
      </c>
      <c r="F40" s="374">
        <v>3280.94</v>
      </c>
      <c r="G40" s="374">
        <v>3308.2080000000001</v>
      </c>
      <c r="H40" s="374">
        <v>3340.1289999999999</v>
      </c>
      <c r="I40" s="374">
        <v>3372.9169999999999</v>
      </c>
      <c r="J40" s="374">
        <v>3405.194</v>
      </c>
      <c r="K40" s="374">
        <v>3437.1469999999999</v>
      </c>
      <c r="L40" s="374">
        <v>3454.3649999999998</v>
      </c>
      <c r="M40" s="374">
        <v>3467.1</v>
      </c>
      <c r="N40" s="374">
        <v>3489.08</v>
      </c>
      <c r="O40" s="374">
        <v>3504.8919999999998</v>
      </c>
      <c r="P40" s="374">
        <v>3525.2330000000002</v>
      </c>
      <c r="Q40" s="374">
        <v>3548.5970000000002</v>
      </c>
      <c r="R40" s="374">
        <v>3594.09</v>
      </c>
      <c r="S40" s="374">
        <v>3634.3490000000002</v>
      </c>
      <c r="T40" s="374">
        <v>3668.9760000000001</v>
      </c>
      <c r="U40" s="374">
        <v>3717.5720000000001</v>
      </c>
      <c r="V40" s="374">
        <v>3760.0140000000001</v>
      </c>
      <c r="W40" s="374">
        <v>3788.8240000000001</v>
      </c>
      <c r="X40" s="374">
        <v>3819.32</v>
      </c>
      <c r="Y40" s="374">
        <v>3853.8910000000001</v>
      </c>
      <c r="Z40" s="374">
        <v>3879.1869999999999</v>
      </c>
      <c r="AA40" s="374">
        <v>3910.518</v>
      </c>
      <c r="AB40" s="374">
        <v>3928.143</v>
      </c>
      <c r="AC40" s="374">
        <v>3933.6019999999999</v>
      </c>
      <c r="AD40" s="374">
        <v>3943.4879999999998</v>
      </c>
      <c r="AE40" s="374">
        <v>3960.6759999999999</v>
      </c>
      <c r="AF40" s="374">
        <v>3980.7829999999999</v>
      </c>
      <c r="AG40" s="412">
        <f t="shared" ref="AG40:AK40" si="36">AF40</f>
        <v>3980.7829999999999</v>
      </c>
      <c r="AH40" s="412">
        <f t="shared" si="36"/>
        <v>3980.7829999999999</v>
      </c>
      <c r="AI40" s="412">
        <f t="shared" si="36"/>
        <v>3980.7829999999999</v>
      </c>
      <c r="AJ40" s="412">
        <f t="shared" si="36"/>
        <v>3980.7829999999999</v>
      </c>
      <c r="AK40" s="413">
        <f t="shared" si="36"/>
        <v>3980.7829999999999</v>
      </c>
      <c r="AL40" s="374"/>
      <c r="AT40" s="174"/>
      <c r="AU40" s="174"/>
      <c r="AV40" s="174"/>
      <c r="AW40" s="174"/>
      <c r="AX40" s="174"/>
      <c r="AY40" s="174"/>
    </row>
    <row r="41" spans="1:51" ht="12.5">
      <c r="A41" s="384" t="s">
        <v>290</v>
      </c>
      <c r="B41" s="375">
        <v>2860.375</v>
      </c>
      <c r="C41" s="374">
        <v>2928.5070000000001</v>
      </c>
      <c r="D41" s="374">
        <v>2991.7550000000001</v>
      </c>
      <c r="E41" s="374">
        <v>3060.3670000000002</v>
      </c>
      <c r="F41" s="374">
        <v>3121.2640000000001</v>
      </c>
      <c r="G41" s="374">
        <v>3184.3690000000001</v>
      </c>
      <c r="H41" s="374">
        <v>3247.1109999999999</v>
      </c>
      <c r="I41" s="374">
        <v>3304.31</v>
      </c>
      <c r="J41" s="374">
        <v>3352.4490000000001</v>
      </c>
      <c r="K41" s="374">
        <v>3393.9409999999998</v>
      </c>
      <c r="L41" s="374">
        <v>3429.7080000000001</v>
      </c>
      <c r="M41" s="374">
        <v>3467.9369999999999</v>
      </c>
      <c r="N41" s="374">
        <v>3513.424</v>
      </c>
      <c r="O41" s="374">
        <v>3547.3760000000002</v>
      </c>
      <c r="P41" s="374">
        <v>3569.4630000000002</v>
      </c>
      <c r="Q41" s="374">
        <v>3613.2020000000002</v>
      </c>
      <c r="R41" s="374">
        <v>3670.8829999999998</v>
      </c>
      <c r="S41" s="374">
        <v>3722.4169999999999</v>
      </c>
      <c r="T41" s="374">
        <v>3768.748</v>
      </c>
      <c r="U41" s="374">
        <v>3808.6</v>
      </c>
      <c r="V41" s="374">
        <v>3837.614</v>
      </c>
      <c r="W41" s="374">
        <v>3872.672</v>
      </c>
      <c r="X41" s="374">
        <v>3900.1019999999999</v>
      </c>
      <c r="Y41" s="374">
        <v>3924.11</v>
      </c>
      <c r="Z41" s="374">
        <v>3965.4470000000001</v>
      </c>
      <c r="AA41" s="374">
        <v>4018.5419999999999</v>
      </c>
      <c r="AB41" s="374">
        <v>4093.2710000000002</v>
      </c>
      <c r="AC41" s="374">
        <v>4147.2939999999999</v>
      </c>
      <c r="AD41" s="374">
        <v>4183.5379999999996</v>
      </c>
      <c r="AE41" s="374">
        <v>4216.116</v>
      </c>
      <c r="AF41" s="374">
        <v>4241.5069999999996</v>
      </c>
      <c r="AG41" s="412">
        <f t="shared" ref="AG41:AK41" si="37">AF41</f>
        <v>4241.5069999999996</v>
      </c>
      <c r="AH41" s="412">
        <f t="shared" si="37"/>
        <v>4241.5069999999996</v>
      </c>
      <c r="AI41" s="412">
        <f t="shared" si="37"/>
        <v>4241.5069999999996</v>
      </c>
      <c r="AJ41" s="412">
        <f t="shared" si="37"/>
        <v>4241.5069999999996</v>
      </c>
      <c r="AK41" s="413">
        <f t="shared" si="37"/>
        <v>4241.5069999999996</v>
      </c>
      <c r="AL41" s="374"/>
      <c r="AT41" s="174"/>
      <c r="AU41" s="174"/>
      <c r="AV41" s="174"/>
      <c r="AW41" s="174"/>
      <c r="AX41" s="174"/>
      <c r="AY41" s="174"/>
    </row>
    <row r="42" spans="1:51" ht="12.5">
      <c r="A42" s="384" t="s">
        <v>291</v>
      </c>
      <c r="B42" s="375">
        <v>11903.299000000001</v>
      </c>
      <c r="C42" s="374">
        <v>11982.164000000001</v>
      </c>
      <c r="D42" s="374">
        <v>12049.45</v>
      </c>
      <c r="E42" s="374">
        <v>12119.724</v>
      </c>
      <c r="F42" s="374">
        <v>12166.05</v>
      </c>
      <c r="G42" s="374">
        <v>12198.403</v>
      </c>
      <c r="H42" s="374">
        <v>12220.464</v>
      </c>
      <c r="I42" s="374">
        <v>12227.814</v>
      </c>
      <c r="J42" s="374">
        <v>12245.672</v>
      </c>
      <c r="K42" s="374">
        <v>12263.805</v>
      </c>
      <c r="L42" s="374">
        <v>12284.173000000001</v>
      </c>
      <c r="M42" s="374">
        <v>12298.97</v>
      </c>
      <c r="N42" s="374">
        <v>12331.031000000001</v>
      </c>
      <c r="O42" s="374">
        <v>12374.657999999999</v>
      </c>
      <c r="P42" s="374">
        <v>12410.722</v>
      </c>
      <c r="Q42" s="374">
        <v>12449.99</v>
      </c>
      <c r="R42" s="374">
        <v>12510.808999999999</v>
      </c>
      <c r="S42" s="374">
        <v>12563.937</v>
      </c>
      <c r="T42" s="374">
        <v>12612.285</v>
      </c>
      <c r="U42" s="374">
        <v>12666.858</v>
      </c>
      <c r="V42" s="374">
        <v>12711.406000000001</v>
      </c>
      <c r="W42" s="374">
        <v>12747.052</v>
      </c>
      <c r="X42" s="374">
        <v>12769.123</v>
      </c>
      <c r="Y42" s="374">
        <v>12779.538</v>
      </c>
      <c r="Z42" s="374">
        <v>12792.392</v>
      </c>
      <c r="AA42" s="374">
        <v>12789.838</v>
      </c>
      <c r="AB42" s="374">
        <v>12788.468000000001</v>
      </c>
      <c r="AC42" s="374">
        <v>12794.679</v>
      </c>
      <c r="AD42" s="374">
        <v>12809.107</v>
      </c>
      <c r="AE42" s="374">
        <v>12798.883</v>
      </c>
      <c r="AF42" s="374">
        <v>12783.254000000001</v>
      </c>
      <c r="AG42" s="412">
        <f t="shared" ref="AG42:AK42" si="38">AF42</f>
        <v>12783.254000000001</v>
      </c>
      <c r="AH42" s="412">
        <f t="shared" si="38"/>
        <v>12783.254000000001</v>
      </c>
      <c r="AI42" s="412">
        <f t="shared" si="38"/>
        <v>12783.254000000001</v>
      </c>
      <c r="AJ42" s="412">
        <f t="shared" si="38"/>
        <v>12783.254000000001</v>
      </c>
      <c r="AK42" s="413">
        <f t="shared" si="38"/>
        <v>12783.254000000001</v>
      </c>
      <c r="AL42" s="374"/>
      <c r="AT42" s="174"/>
      <c r="AU42" s="174"/>
      <c r="AV42" s="174"/>
      <c r="AW42" s="174"/>
      <c r="AX42" s="174"/>
      <c r="AY42" s="174"/>
    </row>
    <row r="43" spans="1:51" ht="12.5">
      <c r="A43" s="384" t="s">
        <v>292</v>
      </c>
      <c r="B43" s="375">
        <v>1005.995</v>
      </c>
      <c r="C43" s="374">
        <v>1010.649</v>
      </c>
      <c r="D43" s="374">
        <v>1012.581</v>
      </c>
      <c r="E43" s="374">
        <v>1015.112</v>
      </c>
      <c r="F43" s="374">
        <v>1015.96</v>
      </c>
      <c r="G43" s="374">
        <v>1017.002</v>
      </c>
      <c r="H43" s="374">
        <v>1020.893</v>
      </c>
      <c r="I43" s="374">
        <v>1025.3530000000001</v>
      </c>
      <c r="J43" s="374">
        <v>1031.155</v>
      </c>
      <c r="K43" s="374">
        <v>1040.402</v>
      </c>
      <c r="L43" s="374">
        <v>1050.268</v>
      </c>
      <c r="M43" s="374">
        <v>1057.1420000000001</v>
      </c>
      <c r="N43" s="374">
        <v>1065.9949999999999</v>
      </c>
      <c r="O43" s="374">
        <v>1071.3420000000001</v>
      </c>
      <c r="P43" s="374">
        <v>1074.579</v>
      </c>
      <c r="Q43" s="374">
        <v>1067.9159999999999</v>
      </c>
      <c r="R43" s="374">
        <v>1063.096</v>
      </c>
      <c r="S43" s="374">
        <v>1057.3150000000001</v>
      </c>
      <c r="T43" s="374">
        <v>1055.0029999999999</v>
      </c>
      <c r="U43" s="374">
        <v>1053.646</v>
      </c>
      <c r="V43" s="374">
        <v>1053.9939999999999</v>
      </c>
      <c r="W43" s="374">
        <v>1053.829</v>
      </c>
      <c r="X43" s="374">
        <v>1054.893</v>
      </c>
      <c r="Y43" s="374">
        <v>1055.56</v>
      </c>
      <c r="Z43" s="374">
        <v>1056.511</v>
      </c>
      <c r="AA43" s="374">
        <v>1056.886</v>
      </c>
      <c r="AB43" s="374">
        <v>1057.816</v>
      </c>
      <c r="AC43" s="374">
        <v>1056.5540000000001</v>
      </c>
      <c r="AD43" s="374">
        <v>1059.338</v>
      </c>
      <c r="AE43" s="374">
        <v>1058.1579999999999</v>
      </c>
      <c r="AF43" s="374">
        <v>1057.125</v>
      </c>
      <c r="AG43" s="412">
        <f t="shared" ref="AG43:AK43" si="39">AF43</f>
        <v>1057.125</v>
      </c>
      <c r="AH43" s="412">
        <f t="shared" si="39"/>
        <v>1057.125</v>
      </c>
      <c r="AI43" s="412">
        <f t="shared" si="39"/>
        <v>1057.125</v>
      </c>
      <c r="AJ43" s="412">
        <f t="shared" si="39"/>
        <v>1057.125</v>
      </c>
      <c r="AK43" s="413">
        <f t="shared" si="39"/>
        <v>1057.125</v>
      </c>
      <c r="AL43" s="374"/>
      <c r="AT43" s="174"/>
      <c r="AU43" s="174"/>
      <c r="AV43" s="174"/>
      <c r="AW43" s="174"/>
      <c r="AX43" s="174"/>
      <c r="AY43" s="174"/>
    </row>
    <row r="44" spans="1:51" ht="12.5">
      <c r="A44" s="384" t="s">
        <v>293</v>
      </c>
      <c r="B44" s="375">
        <v>3501.1550000000002</v>
      </c>
      <c r="C44" s="374">
        <v>3570.404</v>
      </c>
      <c r="D44" s="374">
        <v>3620.4639999999999</v>
      </c>
      <c r="E44" s="374">
        <v>3663.3139999999999</v>
      </c>
      <c r="F44" s="374">
        <v>3705.3969999999999</v>
      </c>
      <c r="G44" s="374">
        <v>3748.5819999999999</v>
      </c>
      <c r="H44" s="374">
        <v>3796.2</v>
      </c>
      <c r="I44" s="374">
        <v>3859.6959999999999</v>
      </c>
      <c r="J44" s="374">
        <v>3919.2350000000001</v>
      </c>
      <c r="K44" s="374">
        <v>3974.6819999999998</v>
      </c>
      <c r="L44" s="374">
        <v>4024.223</v>
      </c>
      <c r="M44" s="374">
        <v>4064.9949999999999</v>
      </c>
      <c r="N44" s="374">
        <v>4107.7950000000001</v>
      </c>
      <c r="O44" s="374">
        <v>4150.2969999999996</v>
      </c>
      <c r="P44" s="374">
        <v>4210.9210000000003</v>
      </c>
      <c r="Q44" s="374">
        <v>4270.1499999999996</v>
      </c>
      <c r="R44" s="374">
        <v>4357.8469999999998</v>
      </c>
      <c r="S44" s="374">
        <v>4444.1099999999997</v>
      </c>
      <c r="T44" s="374">
        <v>4528.9960000000001</v>
      </c>
      <c r="U44" s="374">
        <v>4589.8720000000003</v>
      </c>
      <c r="V44" s="374">
        <v>4635.8459999999995</v>
      </c>
      <c r="W44" s="374">
        <v>4672.6549999999997</v>
      </c>
      <c r="X44" s="374">
        <v>4719.027</v>
      </c>
      <c r="Y44" s="374">
        <v>4766.4690000000001</v>
      </c>
      <c r="Z44" s="374">
        <v>4826.8580000000002</v>
      </c>
      <c r="AA44" s="374">
        <v>4896.0060000000003</v>
      </c>
      <c r="AB44" s="374">
        <v>4963.0309999999999</v>
      </c>
      <c r="AC44" s="374">
        <v>5027.1019999999999</v>
      </c>
      <c r="AD44" s="374">
        <v>5091.7020000000002</v>
      </c>
      <c r="AE44" s="374">
        <v>5157.7020000000002</v>
      </c>
      <c r="AF44" s="374">
        <v>5218.04</v>
      </c>
      <c r="AG44" s="412">
        <f t="shared" ref="AG44:AK44" si="40">AF44</f>
        <v>5218.04</v>
      </c>
      <c r="AH44" s="412">
        <f t="shared" si="40"/>
        <v>5218.04</v>
      </c>
      <c r="AI44" s="412">
        <f t="shared" si="40"/>
        <v>5218.04</v>
      </c>
      <c r="AJ44" s="412">
        <f t="shared" si="40"/>
        <v>5218.04</v>
      </c>
      <c r="AK44" s="413">
        <f t="shared" si="40"/>
        <v>5218.04</v>
      </c>
      <c r="AL44" s="374"/>
      <c r="AT44" s="174"/>
      <c r="AU44" s="174"/>
      <c r="AV44" s="174"/>
      <c r="AW44" s="174"/>
      <c r="AX44" s="174"/>
      <c r="AY44" s="174"/>
    </row>
    <row r="45" spans="1:51" ht="12.5">
      <c r="A45" s="384" t="s">
        <v>294</v>
      </c>
      <c r="B45" s="375">
        <v>697.101</v>
      </c>
      <c r="C45" s="374">
        <v>703.66899999999998</v>
      </c>
      <c r="D45" s="374">
        <v>712.80100000000004</v>
      </c>
      <c r="E45" s="374">
        <v>722.15899999999999</v>
      </c>
      <c r="F45" s="374">
        <v>730.79</v>
      </c>
      <c r="G45" s="374">
        <v>737.92499999999995</v>
      </c>
      <c r="H45" s="374">
        <v>742.21299999999997</v>
      </c>
      <c r="I45" s="374">
        <v>744.22299999999996</v>
      </c>
      <c r="J45" s="374">
        <v>746.05799999999999</v>
      </c>
      <c r="K45" s="374">
        <v>750.41200000000003</v>
      </c>
      <c r="L45" s="374">
        <v>755.84400000000005</v>
      </c>
      <c r="M45" s="374">
        <v>757.97199999999998</v>
      </c>
      <c r="N45" s="374">
        <v>760.02</v>
      </c>
      <c r="O45" s="374">
        <v>763.72900000000004</v>
      </c>
      <c r="P45" s="374">
        <v>770.39599999999996</v>
      </c>
      <c r="Q45" s="374">
        <v>775.49300000000005</v>
      </c>
      <c r="R45" s="374">
        <v>783.03300000000002</v>
      </c>
      <c r="S45" s="374">
        <v>791.62300000000005</v>
      </c>
      <c r="T45" s="374">
        <v>799.12400000000002</v>
      </c>
      <c r="U45" s="374">
        <v>807.06700000000001</v>
      </c>
      <c r="V45" s="374">
        <v>816.19299999999998</v>
      </c>
      <c r="W45" s="374">
        <v>823.74</v>
      </c>
      <c r="X45" s="374">
        <v>833.85900000000004</v>
      </c>
      <c r="Y45" s="374">
        <v>842.75099999999998</v>
      </c>
      <c r="Z45" s="374">
        <v>849.67</v>
      </c>
      <c r="AA45" s="374">
        <v>854.66300000000001</v>
      </c>
      <c r="AB45" s="374">
        <v>863.69299999999998</v>
      </c>
      <c r="AC45" s="374">
        <v>873.73199999999997</v>
      </c>
      <c r="AD45" s="374">
        <v>879.38599999999997</v>
      </c>
      <c r="AE45" s="374">
        <v>887.12699999999995</v>
      </c>
      <c r="AF45" s="374">
        <v>892.71699999999998</v>
      </c>
      <c r="AG45" s="412">
        <f t="shared" ref="AG45:AK45" si="41">AF45</f>
        <v>892.71699999999998</v>
      </c>
      <c r="AH45" s="412">
        <f t="shared" si="41"/>
        <v>892.71699999999998</v>
      </c>
      <c r="AI45" s="412">
        <f t="shared" si="41"/>
        <v>892.71699999999998</v>
      </c>
      <c r="AJ45" s="412">
        <f t="shared" si="41"/>
        <v>892.71699999999998</v>
      </c>
      <c r="AK45" s="413">
        <f t="shared" si="41"/>
        <v>892.71699999999998</v>
      </c>
      <c r="AL45" s="374"/>
      <c r="AT45" s="174"/>
      <c r="AU45" s="174"/>
      <c r="AV45" s="174"/>
      <c r="AW45" s="174"/>
      <c r="AX45" s="174"/>
      <c r="AY45" s="174"/>
    </row>
    <row r="46" spans="1:51" ht="12.5">
      <c r="A46" s="384" t="s">
        <v>295</v>
      </c>
      <c r="B46" s="375">
        <v>4894.4920000000002</v>
      </c>
      <c r="C46" s="374">
        <v>4966.5870000000004</v>
      </c>
      <c r="D46" s="374">
        <v>5049.7420000000002</v>
      </c>
      <c r="E46" s="374">
        <v>5137.5839999999998</v>
      </c>
      <c r="F46" s="374">
        <v>5231.4380000000001</v>
      </c>
      <c r="G46" s="374">
        <v>5326.9359999999997</v>
      </c>
      <c r="H46" s="374">
        <v>5416.643</v>
      </c>
      <c r="I46" s="374">
        <v>5499.2330000000002</v>
      </c>
      <c r="J46" s="374">
        <v>5570.0450000000001</v>
      </c>
      <c r="K46" s="374">
        <v>5638.7060000000001</v>
      </c>
      <c r="L46" s="374">
        <v>5703.7190000000001</v>
      </c>
      <c r="M46" s="374">
        <v>5750.7889999999998</v>
      </c>
      <c r="N46" s="374">
        <v>5795.9179999999997</v>
      </c>
      <c r="O46" s="374">
        <v>5847.8119999999999</v>
      </c>
      <c r="P46" s="374">
        <v>5910.8090000000002</v>
      </c>
      <c r="Q46" s="374">
        <v>5991.0569999999998</v>
      </c>
      <c r="R46" s="374">
        <v>6088.7659999999996</v>
      </c>
      <c r="S46" s="374">
        <v>6175.7269999999999</v>
      </c>
      <c r="T46" s="374">
        <v>6247.4110000000001</v>
      </c>
      <c r="U46" s="374">
        <v>6306.0190000000002</v>
      </c>
      <c r="V46" s="374">
        <v>6355.518</v>
      </c>
      <c r="W46" s="374">
        <v>6400.2979999999998</v>
      </c>
      <c r="X46" s="374">
        <v>6455.7520000000004</v>
      </c>
      <c r="Y46" s="374">
        <v>6496.9430000000002</v>
      </c>
      <c r="Z46" s="374">
        <v>6544.6170000000002</v>
      </c>
      <c r="AA46" s="374">
        <v>6595.3540000000003</v>
      </c>
      <c r="AB46" s="374">
        <v>6651.277</v>
      </c>
      <c r="AC46" s="374">
        <v>6714.7479999999996</v>
      </c>
      <c r="AD46" s="374">
        <v>6778.18</v>
      </c>
      <c r="AE46" s="374">
        <v>6830.3249999999998</v>
      </c>
      <c r="AF46" s="374">
        <v>6886.8339999999998</v>
      </c>
      <c r="AG46" s="412">
        <f t="shared" ref="AG46:AK46" si="42">AF46</f>
        <v>6886.8339999999998</v>
      </c>
      <c r="AH46" s="412">
        <f t="shared" si="42"/>
        <v>6886.8339999999998</v>
      </c>
      <c r="AI46" s="412">
        <f t="shared" si="42"/>
        <v>6886.8339999999998</v>
      </c>
      <c r="AJ46" s="412">
        <f t="shared" si="42"/>
        <v>6886.8339999999998</v>
      </c>
      <c r="AK46" s="413">
        <f t="shared" si="42"/>
        <v>6886.8339999999998</v>
      </c>
      <c r="AL46" s="374"/>
      <c r="AT46" s="174"/>
      <c r="AU46" s="174"/>
      <c r="AV46" s="174"/>
      <c r="AW46" s="174"/>
      <c r="AX46" s="174"/>
      <c r="AY46" s="174"/>
    </row>
    <row r="47" spans="1:51" ht="12.5">
      <c r="A47" s="384" t="s">
        <v>296</v>
      </c>
      <c r="B47" s="375">
        <v>17056.755000000001</v>
      </c>
      <c r="C47" s="374">
        <v>17398.005000000001</v>
      </c>
      <c r="D47" s="374">
        <v>17759.738000000001</v>
      </c>
      <c r="E47" s="374">
        <v>18161.612000000001</v>
      </c>
      <c r="F47" s="374">
        <v>18564.062000000002</v>
      </c>
      <c r="G47" s="374">
        <v>18958.751</v>
      </c>
      <c r="H47" s="374">
        <v>19340.342000000001</v>
      </c>
      <c r="I47" s="374">
        <v>19740.316999999999</v>
      </c>
      <c r="J47" s="374">
        <v>20157.530999999999</v>
      </c>
      <c r="K47" s="374">
        <v>20558.22</v>
      </c>
      <c r="L47" s="374">
        <v>20944.499</v>
      </c>
      <c r="M47" s="374">
        <v>21319.621999999999</v>
      </c>
      <c r="N47" s="374">
        <v>21690.325000000001</v>
      </c>
      <c r="O47" s="374">
        <v>22030.931</v>
      </c>
      <c r="P47" s="374">
        <v>22394.023000000001</v>
      </c>
      <c r="Q47" s="374">
        <v>22778.123</v>
      </c>
      <c r="R47" s="374">
        <v>23359.58</v>
      </c>
      <c r="S47" s="374">
        <v>23831.983</v>
      </c>
      <c r="T47" s="374">
        <v>24309.039000000001</v>
      </c>
      <c r="U47" s="374">
        <v>24801.760999999999</v>
      </c>
      <c r="V47" s="374">
        <v>25241.897000000001</v>
      </c>
      <c r="W47" s="374">
        <v>25645.504000000001</v>
      </c>
      <c r="X47" s="374">
        <v>26084.12</v>
      </c>
      <c r="Y47" s="374">
        <v>26479.646000000001</v>
      </c>
      <c r="Z47" s="374">
        <v>26963.092000000001</v>
      </c>
      <c r="AA47" s="374">
        <v>27468.530999999999</v>
      </c>
      <c r="AB47" s="374">
        <v>27914.063999999998</v>
      </c>
      <c r="AC47" s="374">
        <v>28291.024000000001</v>
      </c>
      <c r="AD47" s="374">
        <v>28624.563999999998</v>
      </c>
      <c r="AE47" s="374">
        <v>28986.794000000002</v>
      </c>
      <c r="AF47" s="374">
        <v>29360.758999999998</v>
      </c>
      <c r="AG47" s="412">
        <f t="shared" ref="AG47:AK47" si="43">AF47</f>
        <v>29360.758999999998</v>
      </c>
      <c r="AH47" s="412">
        <f t="shared" si="43"/>
        <v>29360.758999999998</v>
      </c>
      <c r="AI47" s="412">
        <f t="shared" si="43"/>
        <v>29360.758999999998</v>
      </c>
      <c r="AJ47" s="412">
        <f t="shared" si="43"/>
        <v>29360.758999999998</v>
      </c>
      <c r="AK47" s="413">
        <f t="shared" si="43"/>
        <v>29360.758999999998</v>
      </c>
      <c r="AL47" s="374"/>
      <c r="AT47" s="174"/>
      <c r="AU47" s="174"/>
      <c r="AV47" s="174"/>
      <c r="AW47" s="174"/>
      <c r="AX47" s="174"/>
      <c r="AY47" s="174"/>
    </row>
    <row r="48" spans="1:51" ht="12.5">
      <c r="A48" s="384" t="s">
        <v>297</v>
      </c>
      <c r="B48" s="375">
        <v>1731.223</v>
      </c>
      <c r="C48" s="374">
        <v>1779.78</v>
      </c>
      <c r="D48" s="374">
        <v>1836.799</v>
      </c>
      <c r="E48" s="374">
        <v>1898.404</v>
      </c>
      <c r="F48" s="374">
        <v>1960.4459999999999</v>
      </c>
      <c r="G48" s="374">
        <v>2014.1769999999999</v>
      </c>
      <c r="H48" s="374">
        <v>2067.9760000000001</v>
      </c>
      <c r="I48" s="374">
        <v>2119.7840000000001</v>
      </c>
      <c r="J48" s="374">
        <v>2165.96</v>
      </c>
      <c r="K48" s="374">
        <v>2203.482</v>
      </c>
      <c r="L48" s="374">
        <v>2244.502</v>
      </c>
      <c r="M48" s="374">
        <v>2283.7150000000001</v>
      </c>
      <c r="N48" s="374">
        <v>2324.8150000000001</v>
      </c>
      <c r="O48" s="374">
        <v>2360.1370000000002</v>
      </c>
      <c r="P48" s="374">
        <v>2401.58</v>
      </c>
      <c r="Q48" s="374">
        <v>2457.7190000000001</v>
      </c>
      <c r="R48" s="374">
        <v>2525.5070000000001</v>
      </c>
      <c r="S48" s="374">
        <v>2597.7460000000001</v>
      </c>
      <c r="T48" s="374">
        <v>2663.029</v>
      </c>
      <c r="U48" s="374">
        <v>2723.4209999999998</v>
      </c>
      <c r="V48" s="374">
        <v>2775.413</v>
      </c>
      <c r="W48" s="374">
        <v>2814.797</v>
      </c>
      <c r="X48" s="374">
        <v>2854.1460000000002</v>
      </c>
      <c r="Y48" s="374">
        <v>2898.7730000000001</v>
      </c>
      <c r="Z48" s="374">
        <v>2938.3270000000002</v>
      </c>
      <c r="AA48" s="374">
        <v>2983.6260000000002</v>
      </c>
      <c r="AB48" s="374">
        <v>3044.241</v>
      </c>
      <c r="AC48" s="374">
        <v>3103.54</v>
      </c>
      <c r="AD48" s="374">
        <v>3155.1529999999998</v>
      </c>
      <c r="AE48" s="374">
        <v>3203.3829999999998</v>
      </c>
      <c r="AF48" s="374">
        <v>3249.8789999999999</v>
      </c>
      <c r="AG48" s="412">
        <f t="shared" ref="AG48:AK48" si="44">AF48</f>
        <v>3249.8789999999999</v>
      </c>
      <c r="AH48" s="412">
        <f t="shared" si="44"/>
        <v>3249.8789999999999</v>
      </c>
      <c r="AI48" s="412">
        <f t="shared" si="44"/>
        <v>3249.8789999999999</v>
      </c>
      <c r="AJ48" s="412">
        <f t="shared" si="44"/>
        <v>3249.8789999999999</v>
      </c>
      <c r="AK48" s="413">
        <f t="shared" si="44"/>
        <v>3249.8789999999999</v>
      </c>
      <c r="AL48" s="374"/>
      <c r="AT48" s="174"/>
      <c r="AU48" s="174"/>
      <c r="AV48" s="174"/>
      <c r="AW48" s="174"/>
      <c r="AX48" s="174"/>
      <c r="AY48" s="174"/>
    </row>
    <row r="49" spans="1:51" ht="12.5">
      <c r="A49" s="384" t="s">
        <v>298</v>
      </c>
      <c r="B49" s="375">
        <v>564.798</v>
      </c>
      <c r="C49" s="374">
        <v>568.60599999999999</v>
      </c>
      <c r="D49" s="374">
        <v>572.75099999999998</v>
      </c>
      <c r="E49" s="374">
        <v>577.74800000000005</v>
      </c>
      <c r="F49" s="374">
        <v>583.83600000000001</v>
      </c>
      <c r="G49" s="374">
        <v>589.00199999999995</v>
      </c>
      <c r="H49" s="374">
        <v>593.70100000000002</v>
      </c>
      <c r="I49" s="374">
        <v>597.23900000000003</v>
      </c>
      <c r="J49" s="374">
        <v>600.41600000000005</v>
      </c>
      <c r="K49" s="374">
        <v>604.68299999999999</v>
      </c>
      <c r="L49" s="374">
        <v>609.61800000000005</v>
      </c>
      <c r="M49" s="374">
        <v>612.22299999999996</v>
      </c>
      <c r="N49" s="374">
        <v>615.44200000000001</v>
      </c>
      <c r="O49" s="374">
        <v>617.85799999999995</v>
      </c>
      <c r="P49" s="374">
        <v>619.91999999999996</v>
      </c>
      <c r="Q49" s="374">
        <v>621.21500000000003</v>
      </c>
      <c r="R49" s="374">
        <v>622.89200000000005</v>
      </c>
      <c r="S49" s="374">
        <v>623.48099999999999</v>
      </c>
      <c r="T49" s="374">
        <v>624.15099999999995</v>
      </c>
      <c r="U49" s="374">
        <v>624.81700000000001</v>
      </c>
      <c r="V49" s="374">
        <v>625.88599999999997</v>
      </c>
      <c r="W49" s="374">
        <v>627.197</v>
      </c>
      <c r="X49" s="374">
        <v>626.36099999999999</v>
      </c>
      <c r="Y49" s="374">
        <v>626.60299999999995</v>
      </c>
      <c r="Z49" s="374">
        <v>625.69299999999998</v>
      </c>
      <c r="AA49" s="374">
        <v>625.80999999999995</v>
      </c>
      <c r="AB49" s="374">
        <v>624.36599999999999</v>
      </c>
      <c r="AC49" s="374">
        <v>625.13199999999995</v>
      </c>
      <c r="AD49" s="374">
        <v>624.80200000000002</v>
      </c>
      <c r="AE49" s="374">
        <v>624.04600000000005</v>
      </c>
      <c r="AF49" s="374">
        <v>623.34699999999998</v>
      </c>
      <c r="AG49" s="412">
        <f t="shared" ref="AG49:AK49" si="45">AF49</f>
        <v>623.34699999999998</v>
      </c>
      <c r="AH49" s="412">
        <f t="shared" si="45"/>
        <v>623.34699999999998</v>
      </c>
      <c r="AI49" s="412">
        <f t="shared" si="45"/>
        <v>623.34699999999998</v>
      </c>
      <c r="AJ49" s="412">
        <f t="shared" si="45"/>
        <v>623.34699999999998</v>
      </c>
      <c r="AK49" s="413">
        <f t="shared" si="45"/>
        <v>623.34699999999998</v>
      </c>
      <c r="AL49" s="374"/>
      <c r="AT49" s="174"/>
      <c r="AU49" s="174"/>
      <c r="AV49" s="174"/>
      <c r="AW49" s="174"/>
      <c r="AX49" s="174"/>
      <c r="AY49" s="174"/>
    </row>
    <row r="50" spans="1:51" ht="12.5">
      <c r="A50" s="384" t="s">
        <v>299</v>
      </c>
      <c r="B50" s="375">
        <v>6216.884</v>
      </c>
      <c r="C50" s="374">
        <v>6301.2169999999996</v>
      </c>
      <c r="D50" s="374">
        <v>6414.3069999999998</v>
      </c>
      <c r="E50" s="374">
        <v>6509.63</v>
      </c>
      <c r="F50" s="374">
        <v>6593.1390000000001</v>
      </c>
      <c r="G50" s="374">
        <v>6670.6930000000002</v>
      </c>
      <c r="H50" s="374">
        <v>6750.884</v>
      </c>
      <c r="I50" s="374">
        <v>6829.183</v>
      </c>
      <c r="J50" s="374">
        <v>6900.9179999999997</v>
      </c>
      <c r="K50" s="374">
        <v>7000.174</v>
      </c>
      <c r="L50" s="374">
        <v>7105.817</v>
      </c>
      <c r="M50" s="374">
        <v>7198.3620000000001</v>
      </c>
      <c r="N50" s="374">
        <v>7286.8729999999996</v>
      </c>
      <c r="O50" s="374">
        <v>7366.9769999999999</v>
      </c>
      <c r="P50" s="374">
        <v>7475.5749999999998</v>
      </c>
      <c r="Q50" s="374">
        <v>7577.1049999999996</v>
      </c>
      <c r="R50" s="374">
        <v>7673.7250000000004</v>
      </c>
      <c r="S50" s="374">
        <v>7751</v>
      </c>
      <c r="T50" s="374">
        <v>7833.4960000000001</v>
      </c>
      <c r="U50" s="374">
        <v>7925.9369999999999</v>
      </c>
      <c r="V50" s="374">
        <v>8024.0039999999999</v>
      </c>
      <c r="W50" s="374">
        <v>8102.4369999999999</v>
      </c>
      <c r="X50" s="374">
        <v>8187.4560000000001</v>
      </c>
      <c r="Y50" s="374">
        <v>8255.8610000000008</v>
      </c>
      <c r="Z50" s="374">
        <v>8315.43</v>
      </c>
      <c r="AA50" s="374">
        <v>8367.3029999999999</v>
      </c>
      <c r="AB50" s="374">
        <v>8417.6509999999998</v>
      </c>
      <c r="AC50" s="374">
        <v>8471.0110000000004</v>
      </c>
      <c r="AD50" s="374">
        <v>8510.92</v>
      </c>
      <c r="AE50" s="374">
        <v>8556.6419999999998</v>
      </c>
      <c r="AF50" s="374">
        <v>8590.5630000000001</v>
      </c>
      <c r="AG50" s="412">
        <f t="shared" ref="AG50:AK50" si="46">AF50</f>
        <v>8590.5630000000001</v>
      </c>
      <c r="AH50" s="412">
        <f t="shared" si="46"/>
        <v>8590.5630000000001</v>
      </c>
      <c r="AI50" s="412">
        <f t="shared" si="46"/>
        <v>8590.5630000000001</v>
      </c>
      <c r="AJ50" s="412">
        <f t="shared" si="46"/>
        <v>8590.5630000000001</v>
      </c>
      <c r="AK50" s="413">
        <f t="shared" si="46"/>
        <v>8590.5630000000001</v>
      </c>
      <c r="AL50" s="374"/>
      <c r="AT50" s="174"/>
      <c r="AU50" s="174"/>
      <c r="AV50" s="174"/>
      <c r="AW50" s="174"/>
      <c r="AX50" s="174"/>
      <c r="AY50" s="174"/>
    </row>
    <row r="51" spans="1:51" ht="12.5">
      <c r="A51" s="384" t="s">
        <v>300</v>
      </c>
      <c r="B51" s="375">
        <v>4903.0429999999997</v>
      </c>
      <c r="C51" s="374">
        <v>5025.6239999999998</v>
      </c>
      <c r="D51" s="374">
        <v>5160.7569999999996</v>
      </c>
      <c r="E51" s="374">
        <v>5278.8419999999996</v>
      </c>
      <c r="F51" s="374">
        <v>5375.1610000000001</v>
      </c>
      <c r="G51" s="374">
        <v>5481.027</v>
      </c>
      <c r="H51" s="374">
        <v>5569.7529999999997</v>
      </c>
      <c r="I51" s="374">
        <v>5674.7470000000003</v>
      </c>
      <c r="J51" s="374">
        <v>5769.5619999999999</v>
      </c>
      <c r="K51" s="374">
        <v>5842.5640000000003</v>
      </c>
      <c r="L51" s="374">
        <v>5910.5119999999997</v>
      </c>
      <c r="M51" s="374">
        <v>5985.7219999999998</v>
      </c>
      <c r="N51" s="374">
        <v>6052.3490000000002</v>
      </c>
      <c r="O51" s="374">
        <v>6104.1149999999998</v>
      </c>
      <c r="P51" s="374">
        <v>6178.6450000000004</v>
      </c>
      <c r="Q51" s="374">
        <v>6257.3050000000003</v>
      </c>
      <c r="R51" s="374">
        <v>6370.7529999999997</v>
      </c>
      <c r="S51" s="374">
        <v>6461.5870000000004</v>
      </c>
      <c r="T51" s="374">
        <v>6562.2309999999998</v>
      </c>
      <c r="U51" s="374">
        <v>6667.4260000000004</v>
      </c>
      <c r="V51" s="374">
        <v>6743.009</v>
      </c>
      <c r="W51" s="374">
        <v>6827.4790000000003</v>
      </c>
      <c r="X51" s="374">
        <v>6898.5990000000002</v>
      </c>
      <c r="Y51" s="374">
        <v>6966.2520000000004</v>
      </c>
      <c r="Z51" s="374">
        <v>7057.5309999999999</v>
      </c>
      <c r="AA51" s="374">
        <v>7167.2870000000003</v>
      </c>
      <c r="AB51" s="374">
        <v>7299.9610000000002</v>
      </c>
      <c r="AC51" s="374">
        <v>7427.951</v>
      </c>
      <c r="AD51" s="374">
        <v>7526.7929999999997</v>
      </c>
      <c r="AE51" s="374">
        <v>7614.0240000000003</v>
      </c>
      <c r="AF51" s="374">
        <v>7693.6120000000001</v>
      </c>
      <c r="AG51" s="412">
        <f t="shared" ref="AG51:AK51" si="47">AF51</f>
        <v>7693.6120000000001</v>
      </c>
      <c r="AH51" s="412">
        <f t="shared" si="47"/>
        <v>7693.6120000000001</v>
      </c>
      <c r="AI51" s="412">
        <f t="shared" si="47"/>
        <v>7693.6120000000001</v>
      </c>
      <c r="AJ51" s="412">
        <f t="shared" si="47"/>
        <v>7693.6120000000001</v>
      </c>
      <c r="AK51" s="413">
        <f t="shared" si="47"/>
        <v>7693.6120000000001</v>
      </c>
      <c r="AL51" s="374"/>
      <c r="AT51" s="174"/>
      <c r="AU51" s="174"/>
      <c r="AV51" s="174"/>
      <c r="AW51" s="174"/>
      <c r="AX51" s="174"/>
      <c r="AY51" s="174"/>
    </row>
    <row r="52" spans="1:51" ht="12.5">
      <c r="A52" s="384" t="s">
        <v>301</v>
      </c>
      <c r="B52" s="375">
        <v>1792.548</v>
      </c>
      <c r="C52" s="374">
        <v>1798.7349999999999</v>
      </c>
      <c r="D52" s="374">
        <v>1806.451</v>
      </c>
      <c r="E52" s="374">
        <v>1817.539</v>
      </c>
      <c r="F52" s="374">
        <v>1820.421</v>
      </c>
      <c r="G52" s="374">
        <v>1823.7</v>
      </c>
      <c r="H52" s="374">
        <v>1822.808</v>
      </c>
      <c r="I52" s="374">
        <v>1819.1130000000001</v>
      </c>
      <c r="J52" s="374">
        <v>1815.6089999999999</v>
      </c>
      <c r="K52" s="374">
        <v>1811.799</v>
      </c>
      <c r="L52" s="374">
        <v>1807.021</v>
      </c>
      <c r="M52" s="374">
        <v>1801.481</v>
      </c>
      <c r="N52" s="374">
        <v>1805.414</v>
      </c>
      <c r="O52" s="374">
        <v>1812.2950000000001</v>
      </c>
      <c r="P52" s="374">
        <v>1816.4380000000001</v>
      </c>
      <c r="Q52" s="374">
        <v>1820.492</v>
      </c>
      <c r="R52" s="374">
        <v>1827.912</v>
      </c>
      <c r="S52" s="374">
        <v>1834.0519999999999</v>
      </c>
      <c r="T52" s="374">
        <v>1840.31</v>
      </c>
      <c r="U52" s="374">
        <v>1847.7750000000001</v>
      </c>
      <c r="V52" s="374">
        <v>1854.2650000000001</v>
      </c>
      <c r="W52" s="374">
        <v>1856.606</v>
      </c>
      <c r="X52" s="374">
        <v>1857.4459999999999</v>
      </c>
      <c r="Y52" s="374">
        <v>1854.768</v>
      </c>
      <c r="Z52" s="374">
        <v>1850.569</v>
      </c>
      <c r="AA52" s="374">
        <v>1843.3320000000001</v>
      </c>
      <c r="AB52" s="374">
        <v>1832.4349999999999</v>
      </c>
      <c r="AC52" s="374">
        <v>1818.683</v>
      </c>
      <c r="AD52" s="374">
        <v>1805.953</v>
      </c>
      <c r="AE52" s="374">
        <v>1795.2629999999999</v>
      </c>
      <c r="AF52" s="374">
        <v>1784.787</v>
      </c>
      <c r="AG52" s="412">
        <f t="shared" ref="AG52:AK52" si="48">AF52</f>
        <v>1784.787</v>
      </c>
      <c r="AH52" s="412">
        <f t="shared" si="48"/>
        <v>1784.787</v>
      </c>
      <c r="AI52" s="412">
        <f t="shared" si="48"/>
        <v>1784.787</v>
      </c>
      <c r="AJ52" s="412">
        <f t="shared" si="48"/>
        <v>1784.787</v>
      </c>
      <c r="AK52" s="413">
        <f t="shared" si="48"/>
        <v>1784.787</v>
      </c>
      <c r="AL52" s="374"/>
      <c r="AT52" s="174"/>
      <c r="AU52" s="174"/>
      <c r="AV52" s="174"/>
      <c r="AW52" s="174"/>
      <c r="AX52" s="174"/>
      <c r="AY52" s="174"/>
    </row>
    <row r="53" spans="1:51" ht="12.5">
      <c r="A53" s="384" t="s">
        <v>302</v>
      </c>
      <c r="B53" s="375">
        <v>4904.5619999999999</v>
      </c>
      <c r="C53" s="374">
        <v>4964.3429999999998</v>
      </c>
      <c r="D53" s="374">
        <v>5025.3980000000001</v>
      </c>
      <c r="E53" s="374">
        <v>5084.8890000000001</v>
      </c>
      <c r="F53" s="374">
        <v>5133.6779999999999</v>
      </c>
      <c r="G53" s="374">
        <v>5184.8360000000002</v>
      </c>
      <c r="H53" s="374">
        <v>5229.9859999999999</v>
      </c>
      <c r="I53" s="374">
        <v>5266.2129999999997</v>
      </c>
      <c r="J53" s="374">
        <v>5297.6719999999996</v>
      </c>
      <c r="K53" s="374">
        <v>5332.6660000000002</v>
      </c>
      <c r="L53" s="374">
        <v>5373.9989999999998</v>
      </c>
      <c r="M53" s="374">
        <v>5406.835</v>
      </c>
      <c r="N53" s="374">
        <v>5445.1620000000003</v>
      </c>
      <c r="O53" s="374">
        <v>5479.2030000000004</v>
      </c>
      <c r="P53" s="374">
        <v>5514.0259999999998</v>
      </c>
      <c r="Q53" s="374">
        <v>5546.1660000000002</v>
      </c>
      <c r="R53" s="374">
        <v>5577.6549999999997</v>
      </c>
      <c r="S53" s="374">
        <v>5610.7749999999996</v>
      </c>
      <c r="T53" s="374">
        <v>5640.9960000000001</v>
      </c>
      <c r="U53" s="374">
        <v>5669.2640000000001</v>
      </c>
      <c r="V53" s="374">
        <v>5690.5379999999996</v>
      </c>
      <c r="W53" s="374">
        <v>5705.84</v>
      </c>
      <c r="X53" s="374">
        <v>5720.8249999999998</v>
      </c>
      <c r="Y53" s="374">
        <v>5738.0119999999997</v>
      </c>
      <c r="Z53" s="374">
        <v>5753.1989999999996</v>
      </c>
      <c r="AA53" s="374">
        <v>5762.9269999999997</v>
      </c>
      <c r="AB53" s="374">
        <v>5775.17</v>
      </c>
      <c r="AC53" s="374">
        <v>5793.1469999999999</v>
      </c>
      <c r="AD53" s="374">
        <v>5809.3190000000004</v>
      </c>
      <c r="AE53" s="374">
        <v>5824.5810000000001</v>
      </c>
      <c r="AF53" s="374">
        <v>5832.6549999999997</v>
      </c>
      <c r="AG53" s="412">
        <f t="shared" ref="AG53:AK53" si="49">AF53</f>
        <v>5832.6549999999997</v>
      </c>
      <c r="AH53" s="412">
        <f t="shared" si="49"/>
        <v>5832.6549999999997</v>
      </c>
      <c r="AI53" s="412">
        <f t="shared" si="49"/>
        <v>5832.6549999999997</v>
      </c>
      <c r="AJ53" s="412">
        <f t="shared" si="49"/>
        <v>5832.6549999999997</v>
      </c>
      <c r="AK53" s="413">
        <f t="shared" si="49"/>
        <v>5832.6549999999997</v>
      </c>
      <c r="AL53" s="374"/>
      <c r="AT53" s="174"/>
      <c r="AU53" s="174"/>
      <c r="AV53" s="174"/>
      <c r="AW53" s="174"/>
      <c r="AX53" s="174"/>
      <c r="AY53" s="174"/>
    </row>
    <row r="54" spans="1:51" thickBot="1">
      <c r="A54" s="385" t="s">
        <v>303</v>
      </c>
      <c r="B54" s="376">
        <v>453.69</v>
      </c>
      <c r="C54" s="377">
        <v>459.26</v>
      </c>
      <c r="D54" s="377">
        <v>466.25099999999998</v>
      </c>
      <c r="E54" s="377">
        <v>473.08100000000002</v>
      </c>
      <c r="F54" s="377">
        <v>480.28300000000002</v>
      </c>
      <c r="G54" s="377">
        <v>485.16</v>
      </c>
      <c r="H54" s="377">
        <v>488.16699999999997</v>
      </c>
      <c r="I54" s="377">
        <v>489.45100000000002</v>
      </c>
      <c r="J54" s="377">
        <v>490.78699999999998</v>
      </c>
      <c r="K54" s="377">
        <v>491.78</v>
      </c>
      <c r="L54" s="377">
        <v>494.3</v>
      </c>
      <c r="M54" s="377">
        <v>494.65699999999998</v>
      </c>
      <c r="N54" s="377">
        <v>500.017</v>
      </c>
      <c r="O54" s="377">
        <v>503.45299999999997</v>
      </c>
      <c r="P54" s="377">
        <v>509.10599999999999</v>
      </c>
      <c r="Q54" s="377">
        <v>514.15700000000004</v>
      </c>
      <c r="R54" s="377">
        <v>522.66700000000003</v>
      </c>
      <c r="S54" s="377">
        <v>534.87599999999998</v>
      </c>
      <c r="T54" s="377">
        <v>546.04300000000001</v>
      </c>
      <c r="U54" s="377">
        <v>559.851</v>
      </c>
      <c r="V54" s="377">
        <v>564.53099999999995</v>
      </c>
      <c r="W54" s="377">
        <v>567.49099999999999</v>
      </c>
      <c r="X54" s="377">
        <v>576.65599999999995</v>
      </c>
      <c r="Y54" s="377">
        <v>582.62</v>
      </c>
      <c r="Z54" s="377">
        <v>583.15899999999999</v>
      </c>
      <c r="AA54" s="377">
        <v>586.38900000000001</v>
      </c>
      <c r="AB54" s="377">
        <v>585.24300000000005</v>
      </c>
      <c r="AC54" s="377">
        <v>579.99400000000003</v>
      </c>
      <c r="AD54" s="377">
        <v>579.05399999999997</v>
      </c>
      <c r="AE54" s="377">
        <v>580.11599999999999</v>
      </c>
      <c r="AF54" s="377">
        <v>582.32799999999997</v>
      </c>
      <c r="AG54" s="414">
        <f t="shared" ref="AG54:AK54" si="50">AF54</f>
        <v>582.32799999999997</v>
      </c>
      <c r="AH54" s="414">
        <f t="shared" si="50"/>
        <v>582.32799999999997</v>
      </c>
      <c r="AI54" s="414">
        <f t="shared" si="50"/>
        <v>582.32799999999997</v>
      </c>
      <c r="AJ54" s="414">
        <f t="shared" si="50"/>
        <v>582.32799999999997</v>
      </c>
      <c r="AK54" s="415">
        <f t="shared" si="50"/>
        <v>582.32799999999997</v>
      </c>
      <c r="AL54" s="374"/>
      <c r="AT54" s="174"/>
      <c r="AU54" s="174"/>
      <c r="AV54" s="174"/>
      <c r="AW54" s="174"/>
      <c r="AX54" s="174"/>
      <c r="AY54" s="174"/>
    </row>
    <row r="55" spans="1:51" ht="13.5" thickBot="1">
      <c r="Q55" s="284"/>
      <c r="AF55" s="284"/>
      <c r="AG55" s="284"/>
      <c r="AH55" s="284"/>
      <c r="AI55" s="284"/>
      <c r="AJ55" s="284"/>
      <c r="AK55" s="284"/>
    </row>
    <row r="56" spans="1:51" thickBot="1">
      <c r="A56" s="390" t="s">
        <v>304</v>
      </c>
      <c r="B56" s="177">
        <f>SUM(B4:B55)</f>
        <v>249622.81400000004</v>
      </c>
      <c r="C56" s="178">
        <f>SUM(C4:C55)</f>
        <v>252980.94099999999</v>
      </c>
      <c r="D56" s="178">
        <f t="shared" ref="D56:AK56" si="51">SUM(D4:D55)</f>
        <v>256514.22400000005</v>
      </c>
      <c r="E56" s="178">
        <f t="shared" si="51"/>
        <v>259918.58800000002</v>
      </c>
      <c r="F56" s="178">
        <f t="shared" si="51"/>
        <v>263125.82099999994</v>
      </c>
      <c r="G56" s="178">
        <f t="shared" si="51"/>
        <v>266278.39299999998</v>
      </c>
      <c r="H56" s="178">
        <f t="shared" si="51"/>
        <v>269394.28399999999</v>
      </c>
      <c r="I56" s="178">
        <f t="shared" si="51"/>
        <v>272646.92499999999</v>
      </c>
      <c r="J56" s="178">
        <f t="shared" si="51"/>
        <v>275854.10399999993</v>
      </c>
      <c r="K56" s="178">
        <f t="shared" si="51"/>
        <v>279040.16800000006</v>
      </c>
      <c r="L56" s="178">
        <f t="shared" si="51"/>
        <v>282162.41100000002</v>
      </c>
      <c r="M56" s="178">
        <f t="shared" si="51"/>
        <v>284968.95500000013</v>
      </c>
      <c r="N56" s="178">
        <f t="shared" si="51"/>
        <v>287625.19299999997</v>
      </c>
      <c r="O56" s="178">
        <f t="shared" si="51"/>
        <v>290107.9329999999</v>
      </c>
      <c r="P56" s="178">
        <f t="shared" si="51"/>
        <v>292805.29800000007</v>
      </c>
      <c r="Q56" s="178">
        <f t="shared" si="51"/>
        <v>295516.59899999999</v>
      </c>
      <c r="R56" s="178">
        <f t="shared" si="51"/>
        <v>298379.91199999995</v>
      </c>
      <c r="S56" s="178">
        <f t="shared" si="51"/>
        <v>301231.20700000005</v>
      </c>
      <c r="T56" s="178">
        <f t="shared" si="51"/>
        <v>304093.96599999996</v>
      </c>
      <c r="U56" s="178">
        <f t="shared" si="51"/>
        <v>306771.52899999998</v>
      </c>
      <c r="V56" s="178">
        <f t="shared" si="51"/>
        <v>309327.1430000001</v>
      </c>
      <c r="W56" s="178">
        <f t="shared" si="51"/>
        <v>311583.48099999997</v>
      </c>
      <c r="X56" s="178">
        <f t="shared" si="51"/>
        <v>313877.66200000001</v>
      </c>
      <c r="Y56" s="178">
        <f t="shared" si="51"/>
        <v>316059.94699999993</v>
      </c>
      <c r="Z56" s="178">
        <f t="shared" si="51"/>
        <v>318386.32900000014</v>
      </c>
      <c r="AA56" s="178">
        <f t="shared" si="51"/>
        <v>320738.99400000006</v>
      </c>
      <c r="AB56" s="178">
        <f t="shared" si="51"/>
        <v>323071.75499999989</v>
      </c>
      <c r="AC56" s="178">
        <f t="shared" si="51"/>
        <v>325122.12800000003</v>
      </c>
      <c r="AD56" s="178">
        <f t="shared" si="51"/>
        <v>326838.19899999996</v>
      </c>
      <c r="AE56" s="178">
        <f t="shared" si="51"/>
        <v>328329.95299999986</v>
      </c>
      <c r="AF56" s="178">
        <f t="shared" si="51"/>
        <v>329484.12300000002</v>
      </c>
      <c r="AG56" s="416">
        <f t="shared" si="51"/>
        <v>329484.12300000002</v>
      </c>
      <c r="AH56" s="416">
        <f t="shared" si="51"/>
        <v>329484.12300000002</v>
      </c>
      <c r="AI56" s="416">
        <f t="shared" si="51"/>
        <v>329484.12300000002</v>
      </c>
      <c r="AJ56" s="416">
        <f t="shared" si="51"/>
        <v>329484.12300000002</v>
      </c>
      <c r="AK56" s="417">
        <f t="shared" si="51"/>
        <v>329484.12300000002</v>
      </c>
    </row>
    <row r="57" spans="1:51">
      <c r="B57" s="175"/>
      <c r="C57" s="175"/>
      <c r="D57" s="175"/>
      <c r="E57" s="175"/>
      <c r="F57" s="175"/>
      <c r="G57" s="175"/>
      <c r="H57" s="175"/>
      <c r="I57" s="175"/>
      <c r="J57" s="175"/>
      <c r="K57" s="175"/>
      <c r="L57" s="175"/>
      <c r="M57" s="175"/>
      <c r="N57" s="175"/>
      <c r="Q57" s="284"/>
      <c r="AF57" s="284"/>
      <c r="AG57" s="284"/>
      <c r="AH57" s="284"/>
      <c r="AI57" s="284"/>
      <c r="AJ57" s="284"/>
      <c r="AK57" s="284"/>
    </row>
    <row r="58" spans="1:51" ht="12.5">
      <c r="A58" t="s">
        <v>375</v>
      </c>
      <c r="B58" s="284"/>
      <c r="Q58" s="284"/>
      <c r="AF58" s="284"/>
      <c r="AG58" s="284"/>
      <c r="AH58" s="284"/>
      <c r="AI58" s="284"/>
      <c r="AJ58" s="284"/>
      <c r="AK58" s="284"/>
    </row>
    <row r="59" spans="1:51">
      <c r="B59" s="284" t="s">
        <v>376</v>
      </c>
    </row>
    <row r="60" spans="1:51" ht="12.5">
      <c r="A60" s="176"/>
      <c r="B60" s="284"/>
      <c r="Q60" s="284"/>
      <c r="AF60" s="284"/>
      <c r="AG60" s="284"/>
      <c r="AH60" s="284"/>
      <c r="AI60" s="284"/>
      <c r="AJ60" s="284"/>
      <c r="AK60" s="284"/>
    </row>
    <row r="61" spans="1:51" ht="12.5">
      <c r="A61" s="176"/>
      <c r="B61" s="284"/>
      <c r="Q61" s="284"/>
      <c r="AF61" s="284"/>
      <c r="AG61" s="284"/>
      <c r="AH61" s="284"/>
      <c r="AI61" s="284"/>
      <c r="AJ61" s="284"/>
      <c r="AK61" s="284"/>
    </row>
    <row r="62" spans="1:51" ht="12.5">
      <c r="A62" s="176"/>
      <c r="B62" s="17"/>
      <c r="C62" s="17"/>
      <c r="D62" s="17"/>
      <c r="E62" s="17"/>
      <c r="F62" s="17"/>
      <c r="G62" s="17"/>
      <c r="Q62" s="284"/>
      <c r="AF62" s="284"/>
      <c r="AG62" s="284"/>
      <c r="AH62" s="284"/>
      <c r="AI62" s="284"/>
      <c r="AJ62" s="284"/>
      <c r="AK62" s="284"/>
    </row>
    <row r="63" spans="1:51" ht="12.75" customHeight="1">
      <c r="A63" s="176"/>
      <c r="B63" s="17"/>
      <c r="C63" s="17"/>
      <c r="D63" s="17"/>
      <c r="E63" s="17"/>
      <c r="F63" s="17"/>
      <c r="G63" s="17"/>
      <c r="H63" s="17"/>
      <c r="I63" s="17"/>
      <c r="J63" s="17"/>
      <c r="K63" s="17"/>
      <c r="L63" s="17"/>
      <c r="M63" s="17"/>
      <c r="N63" s="17"/>
      <c r="O63" s="17"/>
      <c r="Q63" s="284"/>
      <c r="AF63" s="284"/>
      <c r="AG63" s="284"/>
      <c r="AH63" s="284"/>
      <c r="AI63" s="284"/>
      <c r="AJ63" s="284"/>
      <c r="AK63" s="284"/>
    </row>
    <row r="64" spans="1:51" ht="12.75" customHeight="1">
      <c r="A64" s="176"/>
      <c r="B64" s="17"/>
      <c r="C64" s="17"/>
      <c r="D64" s="17"/>
      <c r="E64" s="17"/>
      <c r="F64" s="17"/>
      <c r="G64" s="17"/>
      <c r="H64" s="17"/>
      <c r="I64" s="17"/>
      <c r="J64" s="17"/>
      <c r="K64" s="17"/>
      <c r="L64" s="17"/>
      <c r="M64" s="17"/>
      <c r="N64" s="17"/>
      <c r="O64" s="17"/>
    </row>
    <row r="65" spans="1:15" ht="13.5" customHeight="1">
      <c r="A65" s="176"/>
      <c r="B65" s="17"/>
      <c r="C65" s="17"/>
      <c r="D65" s="17"/>
      <c r="E65" s="17"/>
      <c r="F65" s="17"/>
      <c r="G65" s="17"/>
      <c r="H65" s="17"/>
      <c r="I65" s="17"/>
      <c r="J65" s="17"/>
      <c r="K65" s="17"/>
      <c r="L65" s="17"/>
      <c r="M65" s="17"/>
      <c r="N65" s="17"/>
      <c r="O65" s="17"/>
    </row>
    <row r="66" spans="1:15" ht="12.5">
      <c r="A66" s="176"/>
      <c r="B66" s="17"/>
      <c r="C66" s="17"/>
      <c r="D66" s="17"/>
      <c r="E66" s="17"/>
      <c r="F66" s="17"/>
      <c r="G66" s="17"/>
      <c r="H66" s="17"/>
      <c r="I66" s="17"/>
      <c r="J66" s="17"/>
      <c r="K66" s="17"/>
      <c r="L66" s="17"/>
      <c r="M66" s="17"/>
      <c r="N66" s="17"/>
      <c r="O66" s="17"/>
    </row>
    <row r="67" spans="1:15" ht="12.5">
      <c r="A67" s="176"/>
      <c r="B67" s="17"/>
      <c r="C67" s="17"/>
      <c r="D67" s="17"/>
      <c r="E67" s="17"/>
      <c r="F67" s="17"/>
      <c r="G67" s="17"/>
      <c r="H67" s="17"/>
      <c r="I67" s="17"/>
      <c r="J67" s="17"/>
      <c r="K67" s="17"/>
      <c r="L67" s="17"/>
      <c r="M67" s="17"/>
      <c r="N67" s="17"/>
      <c r="O67" s="17"/>
    </row>
    <row r="68" spans="1:15" ht="12.5">
      <c r="A68" s="176"/>
      <c r="C68" s="17"/>
      <c r="D68" s="17"/>
      <c r="E68" s="17"/>
      <c r="F68" s="17"/>
      <c r="G68" s="17"/>
      <c r="H68" s="17"/>
      <c r="I68" s="17"/>
      <c r="J68" s="17"/>
      <c r="K68" s="17"/>
      <c r="L68" s="17"/>
      <c r="M68" s="17"/>
      <c r="N68" s="17"/>
      <c r="O68" s="17"/>
    </row>
  </sheetData>
  <sheetProtection algorithmName="SHA-512" hashValue="FvtJ6Jzoibs/W/Be2tSNJ/fNhuXDoVYrxI7nhqX46ZusemwraO9zZ7/bENf0ygjDj1AByv4oMh94V1VNm4OAQg==" saltValue="h6WDNhZ1qVSTK99qoXHyTg==" spinCount="100000" sheet="1" objects="1" scenarios="1"/>
  <phoneticPr fontId="0" type="noConversion"/>
  <pageMargins left="0.75" right="0.75" top="1" bottom="1" header="0.5" footer="0.5"/>
  <pageSetup orientation="portrait" r:id="rId1"/>
  <headerFooter alignWithMargins="0"/>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
  <dimension ref="A1:AK57"/>
  <sheetViews>
    <sheetView showGridLines="0" showRowColHeaders="0" topLeftCell="W31" workbookViewId="0">
      <selection activeCell="AH58" sqref="AH58"/>
    </sheetView>
  </sheetViews>
  <sheetFormatPr defaultRowHeight="12.5"/>
  <cols>
    <col min="1" max="1" width="6.26953125" customWidth="1"/>
    <col min="2" max="12" width="12.81640625" customWidth="1"/>
    <col min="13" max="13" width="14" customWidth="1"/>
    <col min="14" max="15" width="11.54296875" customWidth="1"/>
    <col min="16" max="17" width="12" bestFit="1" customWidth="1"/>
    <col min="18" max="18" width="11.1796875" bestFit="1" customWidth="1"/>
    <col min="19" max="19" width="11" customWidth="1"/>
    <col min="20" max="20" width="11.1796875" customWidth="1"/>
    <col min="21" max="25" width="10.26953125" customWidth="1"/>
    <col min="26" max="26" width="11.1796875" bestFit="1" customWidth="1"/>
    <col min="27" max="28" width="10.1796875" bestFit="1" customWidth="1"/>
    <col min="29" max="29" width="11.26953125" customWidth="1"/>
    <col min="30" max="30" width="11.54296875" customWidth="1"/>
    <col min="31" max="31" width="12.54296875" customWidth="1"/>
    <col min="32" max="32" width="11.1796875" style="284" bestFit="1" customWidth="1"/>
    <col min="33" max="37" width="11.1796875" style="284" customWidth="1"/>
  </cols>
  <sheetData>
    <row r="1" spans="1:37">
      <c r="A1" s="284" t="s">
        <v>377</v>
      </c>
    </row>
    <row r="2" spans="1:37" ht="13" thickBot="1">
      <c r="A2" t="s">
        <v>305</v>
      </c>
      <c r="I2" s="312"/>
      <c r="J2" s="312"/>
      <c r="K2" s="312"/>
      <c r="L2" s="312"/>
      <c r="M2" s="312"/>
      <c r="N2" s="312"/>
      <c r="O2" s="312"/>
      <c r="P2" s="312"/>
      <c r="Q2" s="312"/>
      <c r="R2" s="312"/>
      <c r="S2" s="312"/>
      <c r="T2" s="312"/>
      <c r="U2" s="312"/>
      <c r="V2" s="312"/>
      <c r="W2" s="312"/>
      <c r="X2" s="312"/>
      <c r="Y2" s="312"/>
      <c r="Z2" s="312"/>
      <c r="AA2" s="312"/>
      <c r="AB2" s="312"/>
      <c r="AC2" s="312"/>
      <c r="AD2" s="312"/>
      <c r="AE2" s="312"/>
    </row>
    <row r="3" spans="1:37" ht="13.5" thickBot="1">
      <c r="A3" s="378" t="s">
        <v>252</v>
      </c>
      <c r="B3" s="391">
        <v>1990</v>
      </c>
      <c r="C3" s="388">
        <v>1991</v>
      </c>
      <c r="D3" s="388">
        <v>1992</v>
      </c>
      <c r="E3" s="388">
        <v>1993</v>
      </c>
      <c r="F3" s="388">
        <v>1994</v>
      </c>
      <c r="G3" s="388">
        <v>1995</v>
      </c>
      <c r="H3" s="388">
        <v>1996</v>
      </c>
      <c r="I3" s="388">
        <v>1997</v>
      </c>
      <c r="J3" s="388">
        <v>1998</v>
      </c>
      <c r="K3" s="388">
        <v>1999</v>
      </c>
      <c r="L3" s="388">
        <v>2000</v>
      </c>
      <c r="M3" s="388">
        <v>2001</v>
      </c>
      <c r="N3" s="388">
        <v>2002</v>
      </c>
      <c r="O3" s="388">
        <v>2003</v>
      </c>
      <c r="P3" s="388">
        <v>2004</v>
      </c>
      <c r="Q3" s="388">
        <v>2005</v>
      </c>
      <c r="R3" s="388">
        <v>2006</v>
      </c>
      <c r="S3" s="388">
        <v>2007</v>
      </c>
      <c r="T3" s="388">
        <v>2008</v>
      </c>
      <c r="U3" s="388">
        <v>2009</v>
      </c>
      <c r="V3" s="388">
        <v>2010</v>
      </c>
      <c r="W3" s="388">
        <v>2011</v>
      </c>
      <c r="X3" s="388">
        <v>2012</v>
      </c>
      <c r="Y3" s="388">
        <v>2013</v>
      </c>
      <c r="Z3" s="388">
        <v>2014</v>
      </c>
      <c r="AA3" s="388">
        <v>2015</v>
      </c>
      <c r="AB3" s="388">
        <v>2016</v>
      </c>
      <c r="AC3" s="388">
        <v>2017</v>
      </c>
      <c r="AD3" s="388">
        <v>2018</v>
      </c>
      <c r="AE3" s="388">
        <v>2019</v>
      </c>
      <c r="AF3" s="388">
        <v>2020</v>
      </c>
      <c r="AG3" s="388">
        <v>2021</v>
      </c>
      <c r="AH3" s="388">
        <v>2022</v>
      </c>
      <c r="AI3" s="388">
        <v>2023</v>
      </c>
      <c r="AJ3" s="388">
        <v>2024</v>
      </c>
      <c r="AK3" s="392">
        <v>2025</v>
      </c>
    </row>
    <row r="4" spans="1:37">
      <c r="A4" s="383" t="s">
        <v>253</v>
      </c>
      <c r="B4" s="297">
        <v>71610</v>
      </c>
      <c r="C4" s="298">
        <v>76043.3</v>
      </c>
      <c r="D4" s="298">
        <v>81260.100000000006</v>
      </c>
      <c r="E4" s="298">
        <v>84562.8</v>
      </c>
      <c r="F4" s="298">
        <v>90098.5</v>
      </c>
      <c r="G4" s="298">
        <v>95819.1</v>
      </c>
      <c r="H4" s="298">
        <v>100145.9</v>
      </c>
      <c r="I4" s="298">
        <v>104811.9</v>
      </c>
      <c r="J4" s="298">
        <v>110212</v>
      </c>
      <c r="K4" s="298">
        <v>115680.1</v>
      </c>
      <c r="L4" s="298">
        <v>119851.7</v>
      </c>
      <c r="M4" s="298">
        <v>122915.5</v>
      </c>
      <c r="N4" s="298">
        <v>127505</v>
      </c>
      <c r="O4" s="298">
        <v>134152.6</v>
      </c>
      <c r="P4" s="298">
        <v>147715.20000000001</v>
      </c>
      <c r="Q4" s="298">
        <v>158846.79999999999</v>
      </c>
      <c r="R4" s="298">
        <v>166469</v>
      </c>
      <c r="S4" s="298">
        <v>172975.2</v>
      </c>
      <c r="T4" s="298">
        <v>174526.3</v>
      </c>
      <c r="U4" s="298">
        <v>170930.9</v>
      </c>
      <c r="V4" s="298">
        <v>177249.2</v>
      </c>
      <c r="W4" s="298">
        <v>183916.6</v>
      </c>
      <c r="X4" s="298">
        <v>189245.5</v>
      </c>
      <c r="Y4" s="298">
        <v>194786.9</v>
      </c>
      <c r="Z4" s="298">
        <v>197406.9</v>
      </c>
      <c r="AA4" s="298">
        <v>202372.4</v>
      </c>
      <c r="AB4" s="298">
        <v>207368.4</v>
      </c>
      <c r="AC4" s="298">
        <v>214606.3</v>
      </c>
      <c r="AD4" s="298">
        <v>223859.3</v>
      </c>
      <c r="AE4" s="298">
        <v>231561.9</v>
      </c>
      <c r="AF4" s="298">
        <v>230892.1</v>
      </c>
      <c r="AG4" s="418">
        <f>AF4</f>
        <v>230892.1</v>
      </c>
      <c r="AH4" s="418">
        <f t="shared" ref="AH4:AK4" si="0">AG4</f>
        <v>230892.1</v>
      </c>
      <c r="AI4" s="418">
        <f t="shared" si="0"/>
        <v>230892.1</v>
      </c>
      <c r="AJ4" s="418">
        <f t="shared" si="0"/>
        <v>230892.1</v>
      </c>
      <c r="AK4" s="419">
        <f t="shared" si="0"/>
        <v>230892.1</v>
      </c>
    </row>
    <row r="5" spans="1:37">
      <c r="A5" s="384" t="s">
        <v>254</v>
      </c>
      <c r="B5" s="299">
        <v>25039.5</v>
      </c>
      <c r="C5" s="300">
        <v>22282.5</v>
      </c>
      <c r="D5" s="300">
        <v>22752.799999999999</v>
      </c>
      <c r="E5" s="300">
        <v>23284.2</v>
      </c>
      <c r="F5" s="300">
        <v>23604.7</v>
      </c>
      <c r="G5" s="300">
        <v>25448.799999999999</v>
      </c>
      <c r="H5" s="300">
        <v>26736.9</v>
      </c>
      <c r="I5" s="300">
        <v>25810.799999999999</v>
      </c>
      <c r="J5" s="300">
        <v>24227.5</v>
      </c>
      <c r="K5" s="300">
        <v>24744.3</v>
      </c>
      <c r="L5" s="300">
        <v>26806.6</v>
      </c>
      <c r="M5" s="300">
        <v>28494.1</v>
      </c>
      <c r="N5" s="300">
        <v>29756.799999999999</v>
      </c>
      <c r="O5" s="300">
        <v>32037.9</v>
      </c>
      <c r="P5" s="300">
        <v>35302.400000000001</v>
      </c>
      <c r="Q5" s="300">
        <v>40356.6</v>
      </c>
      <c r="R5" s="300">
        <v>45094.1</v>
      </c>
      <c r="S5" s="300">
        <v>49583.7</v>
      </c>
      <c r="T5" s="300">
        <v>55122.5</v>
      </c>
      <c r="U5" s="300">
        <v>49957.8</v>
      </c>
      <c r="V5" s="300">
        <v>53331.6</v>
      </c>
      <c r="W5" s="300">
        <v>56896.3</v>
      </c>
      <c r="X5" s="300">
        <v>58283.6</v>
      </c>
      <c r="Y5" s="300">
        <v>57247.7</v>
      </c>
      <c r="Z5" s="300">
        <v>56484.9</v>
      </c>
      <c r="AA5" s="300">
        <v>51490.9</v>
      </c>
      <c r="AB5" s="300">
        <v>50727.7</v>
      </c>
      <c r="AC5" s="300">
        <v>53301.5</v>
      </c>
      <c r="AD5" s="300">
        <v>54899.6</v>
      </c>
      <c r="AE5" s="300">
        <v>54728.2</v>
      </c>
      <c r="AF5" s="300">
        <v>50475.199999999997</v>
      </c>
      <c r="AG5" s="410">
        <f t="shared" ref="AG5:AK5" si="1">AF5</f>
        <v>50475.199999999997</v>
      </c>
      <c r="AH5" s="410">
        <f t="shared" si="1"/>
        <v>50475.199999999997</v>
      </c>
      <c r="AI5" s="410">
        <f t="shared" si="1"/>
        <v>50475.199999999997</v>
      </c>
      <c r="AJ5" s="410">
        <f t="shared" si="1"/>
        <v>50475.199999999997</v>
      </c>
      <c r="AK5" s="411">
        <f t="shared" si="1"/>
        <v>50475.199999999997</v>
      </c>
    </row>
    <row r="6" spans="1:37">
      <c r="A6" s="384" t="s">
        <v>255</v>
      </c>
      <c r="B6" s="299">
        <v>70631.7</v>
      </c>
      <c r="C6" s="300">
        <v>73358.3</v>
      </c>
      <c r="D6" s="300">
        <v>82682.2</v>
      </c>
      <c r="E6" s="300">
        <v>89299.8</v>
      </c>
      <c r="F6" s="300">
        <v>100374.2</v>
      </c>
      <c r="G6" s="300">
        <v>109905.7</v>
      </c>
      <c r="H6" s="300">
        <v>119530.2</v>
      </c>
      <c r="I6" s="300">
        <v>132281</v>
      </c>
      <c r="J6" s="300">
        <v>143302.6</v>
      </c>
      <c r="K6" s="300">
        <v>155755.79999999999</v>
      </c>
      <c r="L6" s="300">
        <v>165110.70000000001</v>
      </c>
      <c r="M6" s="300">
        <v>171909.6</v>
      </c>
      <c r="N6" s="300">
        <v>180522.3</v>
      </c>
      <c r="O6" s="300">
        <v>193634.9</v>
      </c>
      <c r="P6" s="300">
        <v>206541.1</v>
      </c>
      <c r="Q6" s="300">
        <v>227915.9</v>
      </c>
      <c r="R6" s="300">
        <v>245957</v>
      </c>
      <c r="S6" s="300">
        <v>261392</v>
      </c>
      <c r="T6" s="300">
        <v>262926</v>
      </c>
      <c r="U6" s="300">
        <v>246424.3</v>
      </c>
      <c r="V6" s="300">
        <v>251153</v>
      </c>
      <c r="W6" s="300">
        <v>260915.7</v>
      </c>
      <c r="X6" s="300">
        <v>271440</v>
      </c>
      <c r="Y6" s="300">
        <v>278591.59999999998</v>
      </c>
      <c r="Z6" s="300">
        <v>287666.59999999998</v>
      </c>
      <c r="AA6" s="300">
        <v>299393.3</v>
      </c>
      <c r="AB6" s="300">
        <v>313081.40000000002</v>
      </c>
      <c r="AC6" s="300">
        <v>332001.8</v>
      </c>
      <c r="AD6" s="300">
        <v>351879.5</v>
      </c>
      <c r="AE6" s="300">
        <v>372393.5</v>
      </c>
      <c r="AF6" s="300">
        <v>382072.3</v>
      </c>
      <c r="AG6" s="410">
        <f t="shared" ref="AG6:AK6" si="2">AF6</f>
        <v>382072.3</v>
      </c>
      <c r="AH6" s="410">
        <f t="shared" si="2"/>
        <v>382072.3</v>
      </c>
      <c r="AI6" s="410">
        <f t="shared" si="2"/>
        <v>382072.3</v>
      </c>
      <c r="AJ6" s="410">
        <f t="shared" si="2"/>
        <v>382072.3</v>
      </c>
      <c r="AK6" s="411">
        <f t="shared" si="2"/>
        <v>382072.3</v>
      </c>
    </row>
    <row r="7" spans="1:37">
      <c r="A7" s="384" t="s">
        <v>256</v>
      </c>
      <c r="B7" s="299">
        <v>38679.800000000003</v>
      </c>
      <c r="C7" s="300">
        <v>41571.699999999997</v>
      </c>
      <c r="D7" s="300">
        <v>45017.8</v>
      </c>
      <c r="E7" s="300">
        <v>47566</v>
      </c>
      <c r="F7" s="300">
        <v>51415.9</v>
      </c>
      <c r="G7" s="300">
        <v>54611.8</v>
      </c>
      <c r="H7" s="300">
        <v>57976.4</v>
      </c>
      <c r="I7" s="300">
        <v>59846.3</v>
      </c>
      <c r="J7" s="300">
        <v>62396.7</v>
      </c>
      <c r="K7" s="300">
        <v>66811.3</v>
      </c>
      <c r="L7" s="300">
        <v>68678.5</v>
      </c>
      <c r="M7" s="300">
        <v>70616.7</v>
      </c>
      <c r="N7" s="300">
        <v>74113.899999999994</v>
      </c>
      <c r="O7" s="300">
        <v>78695.100000000006</v>
      </c>
      <c r="P7" s="300">
        <v>85199.6</v>
      </c>
      <c r="Q7" s="300">
        <v>90887.7</v>
      </c>
      <c r="R7" s="300">
        <v>95875.1</v>
      </c>
      <c r="S7" s="300">
        <v>98381.6</v>
      </c>
      <c r="T7" s="300">
        <v>99706.8</v>
      </c>
      <c r="U7" s="300">
        <v>97508.1</v>
      </c>
      <c r="V7" s="300">
        <v>101486.5</v>
      </c>
      <c r="W7" s="300">
        <v>105768.1</v>
      </c>
      <c r="X7" s="300">
        <v>108492.1</v>
      </c>
      <c r="Y7" s="300">
        <v>113227.3</v>
      </c>
      <c r="Z7" s="300">
        <v>116139.4</v>
      </c>
      <c r="AA7" s="300">
        <v>117786.8</v>
      </c>
      <c r="AB7" s="300">
        <v>119152.4</v>
      </c>
      <c r="AC7" s="300">
        <v>122466.7</v>
      </c>
      <c r="AD7" s="300">
        <v>127535.7</v>
      </c>
      <c r="AE7" s="300">
        <v>131578.29999999999</v>
      </c>
      <c r="AF7" s="300">
        <v>133969.1</v>
      </c>
      <c r="AG7" s="410">
        <f t="shared" ref="AG7:AK7" si="3">AF7</f>
        <v>133969.1</v>
      </c>
      <c r="AH7" s="410">
        <f t="shared" si="3"/>
        <v>133969.1</v>
      </c>
      <c r="AI7" s="410">
        <f t="shared" si="3"/>
        <v>133969.1</v>
      </c>
      <c r="AJ7" s="410">
        <f t="shared" si="3"/>
        <v>133969.1</v>
      </c>
      <c r="AK7" s="411">
        <f t="shared" si="3"/>
        <v>133969.1</v>
      </c>
    </row>
    <row r="8" spans="1:37">
      <c r="A8" s="384" t="s">
        <v>257</v>
      </c>
      <c r="B8" s="299">
        <v>773460</v>
      </c>
      <c r="C8" s="300">
        <v>790045.6</v>
      </c>
      <c r="D8" s="300">
        <v>807358.4</v>
      </c>
      <c r="E8" s="300">
        <v>826446.9</v>
      </c>
      <c r="F8" s="300">
        <v>861360</v>
      </c>
      <c r="G8" s="300">
        <v>911576.8</v>
      </c>
      <c r="H8" s="300">
        <v>964185.5</v>
      </c>
      <c r="I8" s="300">
        <v>1071117</v>
      </c>
      <c r="J8" s="300">
        <v>1147520.3999999999</v>
      </c>
      <c r="K8" s="300">
        <v>1241899.7</v>
      </c>
      <c r="L8" s="300">
        <v>1356975.4</v>
      </c>
      <c r="M8" s="300">
        <v>1375761.3</v>
      </c>
      <c r="N8" s="300">
        <v>1418429.6</v>
      </c>
      <c r="O8" s="300">
        <v>1497918.7</v>
      </c>
      <c r="P8" s="300">
        <v>1588177.4</v>
      </c>
      <c r="Q8" s="300">
        <v>1698560.4</v>
      </c>
      <c r="R8" s="300">
        <v>1812210</v>
      </c>
      <c r="S8" s="300">
        <v>1898902</v>
      </c>
      <c r="T8" s="300">
        <v>1944695.3</v>
      </c>
      <c r="U8" s="300">
        <v>1890165.9</v>
      </c>
      <c r="V8" s="300">
        <v>1954092.7</v>
      </c>
      <c r="W8" s="300">
        <v>2023500</v>
      </c>
      <c r="X8" s="300">
        <v>2113096.4</v>
      </c>
      <c r="Y8" s="300">
        <v>2220389.9</v>
      </c>
      <c r="Z8" s="300">
        <v>2335286.5</v>
      </c>
      <c r="AA8" s="300">
        <v>2473555.9</v>
      </c>
      <c r="AB8" s="300">
        <v>2569634</v>
      </c>
      <c r="AC8" s="300">
        <v>2728743.1</v>
      </c>
      <c r="AD8" s="300">
        <v>2897200.7</v>
      </c>
      <c r="AE8" s="300">
        <v>3042694.1</v>
      </c>
      <c r="AF8" s="300">
        <v>3020173.4</v>
      </c>
      <c r="AG8" s="410">
        <f t="shared" ref="AG8:AK8" si="4">AF8</f>
        <v>3020173.4</v>
      </c>
      <c r="AH8" s="410">
        <f t="shared" si="4"/>
        <v>3020173.4</v>
      </c>
      <c r="AI8" s="410">
        <f t="shared" si="4"/>
        <v>3020173.4</v>
      </c>
      <c r="AJ8" s="410">
        <f t="shared" si="4"/>
        <v>3020173.4</v>
      </c>
      <c r="AK8" s="411">
        <f t="shared" si="4"/>
        <v>3020173.4</v>
      </c>
    </row>
    <row r="9" spans="1:37">
      <c r="A9" s="384" t="s">
        <v>258</v>
      </c>
      <c r="B9" s="299">
        <v>75570.5</v>
      </c>
      <c r="C9" s="300">
        <v>79766.2</v>
      </c>
      <c r="D9" s="300">
        <v>87302.1</v>
      </c>
      <c r="E9" s="300">
        <v>95658.7</v>
      </c>
      <c r="F9" s="300">
        <v>104506.8</v>
      </c>
      <c r="G9" s="300">
        <v>112707.9</v>
      </c>
      <c r="H9" s="300">
        <v>121081</v>
      </c>
      <c r="I9" s="300">
        <v>136898.70000000001</v>
      </c>
      <c r="J9" s="300">
        <v>150330</v>
      </c>
      <c r="K9" s="300">
        <v>163763.29999999999</v>
      </c>
      <c r="L9" s="300">
        <v>180063.2</v>
      </c>
      <c r="M9" s="300">
        <v>186695.8</v>
      </c>
      <c r="N9" s="300">
        <v>190019</v>
      </c>
      <c r="O9" s="300">
        <v>196126.5</v>
      </c>
      <c r="P9" s="300">
        <v>204167.2</v>
      </c>
      <c r="Q9" s="300">
        <v>220783.7</v>
      </c>
      <c r="R9" s="300">
        <v>232646.7</v>
      </c>
      <c r="S9" s="300">
        <v>248446.5</v>
      </c>
      <c r="T9" s="300">
        <v>258871.7</v>
      </c>
      <c r="U9" s="300">
        <v>251227.7</v>
      </c>
      <c r="V9" s="300">
        <v>258300.2</v>
      </c>
      <c r="W9" s="300">
        <v>267516.09999999998</v>
      </c>
      <c r="X9" s="300">
        <v>276823.09999999998</v>
      </c>
      <c r="Y9" s="300">
        <v>292140.5</v>
      </c>
      <c r="Z9" s="300">
        <v>309542.59999999998</v>
      </c>
      <c r="AA9" s="300">
        <v>320721.09999999998</v>
      </c>
      <c r="AB9" s="300">
        <v>329911.7</v>
      </c>
      <c r="AC9" s="300">
        <v>349156.5</v>
      </c>
      <c r="AD9" s="300">
        <v>372212.1</v>
      </c>
      <c r="AE9" s="300">
        <v>394534.7</v>
      </c>
      <c r="AF9" s="300">
        <v>391263.3</v>
      </c>
      <c r="AG9" s="410">
        <f t="shared" ref="AG9:AK9" si="5">AF9</f>
        <v>391263.3</v>
      </c>
      <c r="AH9" s="410">
        <f t="shared" si="5"/>
        <v>391263.3</v>
      </c>
      <c r="AI9" s="410">
        <f t="shared" si="5"/>
        <v>391263.3</v>
      </c>
      <c r="AJ9" s="410">
        <f t="shared" si="5"/>
        <v>391263.3</v>
      </c>
      <c r="AK9" s="411">
        <f t="shared" si="5"/>
        <v>391263.3</v>
      </c>
    </row>
    <row r="10" spans="1:37">
      <c r="A10" s="384" t="s">
        <v>259</v>
      </c>
      <c r="B10" s="299">
        <v>100169</v>
      </c>
      <c r="C10" s="300">
        <v>101474.7</v>
      </c>
      <c r="D10" s="300">
        <v>105758.8</v>
      </c>
      <c r="E10" s="300">
        <v>107680</v>
      </c>
      <c r="F10" s="300">
        <v>113115.1</v>
      </c>
      <c r="G10" s="300">
        <v>123212.2</v>
      </c>
      <c r="H10" s="300">
        <v>129111.3</v>
      </c>
      <c r="I10" s="300">
        <v>138331.79999999999</v>
      </c>
      <c r="J10" s="300">
        <v>145475.5</v>
      </c>
      <c r="K10" s="300">
        <v>152287.5</v>
      </c>
      <c r="L10" s="300">
        <v>165614.29999999999</v>
      </c>
      <c r="M10" s="300">
        <v>171216.6</v>
      </c>
      <c r="N10" s="300">
        <v>173248.3</v>
      </c>
      <c r="O10" s="300">
        <v>178702.2</v>
      </c>
      <c r="P10" s="300">
        <v>195354.9</v>
      </c>
      <c r="Q10" s="300">
        <v>205214.6</v>
      </c>
      <c r="R10" s="300">
        <v>219768.4</v>
      </c>
      <c r="S10" s="300">
        <v>234540.7</v>
      </c>
      <c r="T10" s="300">
        <v>238936.8</v>
      </c>
      <c r="U10" s="300">
        <v>233290.7</v>
      </c>
      <c r="V10" s="300">
        <v>234700</v>
      </c>
      <c r="W10" s="300">
        <v>233158.7</v>
      </c>
      <c r="X10" s="300">
        <v>240911.9</v>
      </c>
      <c r="Y10" s="300">
        <v>241517.4</v>
      </c>
      <c r="Z10" s="300">
        <v>246597</v>
      </c>
      <c r="AA10" s="300">
        <v>259487.8</v>
      </c>
      <c r="AB10" s="300">
        <v>263670.3</v>
      </c>
      <c r="AC10" s="300">
        <v>271443.20000000001</v>
      </c>
      <c r="AD10" s="300">
        <v>279923</v>
      </c>
      <c r="AE10" s="300">
        <v>288536.3</v>
      </c>
      <c r="AF10" s="300">
        <v>276223.3</v>
      </c>
      <c r="AG10" s="410">
        <f t="shared" ref="AG10:AK10" si="6">AF10</f>
        <v>276223.3</v>
      </c>
      <c r="AH10" s="410">
        <f t="shared" si="6"/>
        <v>276223.3</v>
      </c>
      <c r="AI10" s="410">
        <f t="shared" si="6"/>
        <v>276223.3</v>
      </c>
      <c r="AJ10" s="410">
        <f t="shared" si="6"/>
        <v>276223.3</v>
      </c>
      <c r="AK10" s="411">
        <f t="shared" si="6"/>
        <v>276223.3</v>
      </c>
    </row>
    <row r="11" spans="1:37">
      <c r="A11" s="384" t="s">
        <v>260</v>
      </c>
      <c r="B11" s="299">
        <v>19928.3</v>
      </c>
      <c r="C11" s="300">
        <v>21746</v>
      </c>
      <c r="D11" s="300">
        <v>22907.1</v>
      </c>
      <c r="E11" s="300">
        <v>23508.6</v>
      </c>
      <c r="F11" s="300">
        <v>25637.9</v>
      </c>
      <c r="G11" s="300">
        <v>27720.9</v>
      </c>
      <c r="H11" s="300">
        <v>29156.5</v>
      </c>
      <c r="I11" s="300">
        <v>33353.4</v>
      </c>
      <c r="J11" s="300">
        <v>37106</v>
      </c>
      <c r="K11" s="300">
        <v>40345.1</v>
      </c>
      <c r="L11" s="300">
        <v>43451.3</v>
      </c>
      <c r="M11" s="300">
        <v>46096.1</v>
      </c>
      <c r="N11" s="300">
        <v>45508.3</v>
      </c>
      <c r="O11" s="300">
        <v>47686.1</v>
      </c>
      <c r="P11" s="300">
        <v>51353.7</v>
      </c>
      <c r="Q11" s="300">
        <v>52153.5</v>
      </c>
      <c r="R11" s="300">
        <v>55174.400000000001</v>
      </c>
      <c r="S11" s="300">
        <v>56612.800000000003</v>
      </c>
      <c r="T11" s="300">
        <v>55459.8</v>
      </c>
      <c r="U11" s="300">
        <v>57849.7</v>
      </c>
      <c r="V11" s="300">
        <v>58163.5</v>
      </c>
      <c r="W11" s="300">
        <v>61372.2</v>
      </c>
      <c r="X11" s="300">
        <v>62354.6</v>
      </c>
      <c r="Y11" s="300">
        <v>61716.2</v>
      </c>
      <c r="Z11" s="300">
        <v>68354.7</v>
      </c>
      <c r="AA11" s="300">
        <v>71913.899999999994</v>
      </c>
      <c r="AB11" s="300">
        <v>69355</v>
      </c>
      <c r="AC11" s="300">
        <v>68302.5</v>
      </c>
      <c r="AD11" s="300">
        <v>72168.3</v>
      </c>
      <c r="AE11" s="300">
        <v>76923.7</v>
      </c>
      <c r="AF11" s="300">
        <v>75818.600000000006</v>
      </c>
      <c r="AG11" s="410">
        <f t="shared" ref="AG11:AK11" si="7">AF11</f>
        <v>75818.600000000006</v>
      </c>
      <c r="AH11" s="410">
        <f t="shared" si="7"/>
        <v>75818.600000000006</v>
      </c>
      <c r="AI11" s="410">
        <f t="shared" si="7"/>
        <v>75818.600000000006</v>
      </c>
      <c r="AJ11" s="410">
        <f t="shared" si="7"/>
        <v>75818.600000000006</v>
      </c>
      <c r="AK11" s="411">
        <f t="shared" si="7"/>
        <v>75818.600000000006</v>
      </c>
    </row>
    <row r="12" spans="1:37">
      <c r="A12" s="384" t="s">
        <v>261</v>
      </c>
      <c r="B12" s="299">
        <v>39688.400000000001</v>
      </c>
      <c r="C12" s="300">
        <v>41430</v>
      </c>
      <c r="D12" s="300">
        <v>43186.5</v>
      </c>
      <c r="E12" s="300">
        <v>45356.2</v>
      </c>
      <c r="F12" s="300">
        <v>46654.8</v>
      </c>
      <c r="G12" s="300">
        <v>47093.9</v>
      </c>
      <c r="H12" s="300">
        <v>47822.9</v>
      </c>
      <c r="I12" s="300">
        <v>52503.6</v>
      </c>
      <c r="J12" s="300">
        <v>54815.3</v>
      </c>
      <c r="K12" s="300">
        <v>58819.199999999997</v>
      </c>
      <c r="L12" s="300">
        <v>61092.9</v>
      </c>
      <c r="M12" s="300">
        <v>65442.9</v>
      </c>
      <c r="N12" s="300">
        <v>69919.5</v>
      </c>
      <c r="O12" s="300">
        <v>73957.100000000006</v>
      </c>
      <c r="P12" s="300">
        <v>80140.100000000006</v>
      </c>
      <c r="Q12" s="300">
        <v>84867.6</v>
      </c>
      <c r="R12" s="300">
        <v>88125</v>
      </c>
      <c r="S12" s="300">
        <v>93785.4</v>
      </c>
      <c r="T12" s="300">
        <v>99496.5</v>
      </c>
      <c r="U12" s="300">
        <v>100446</v>
      </c>
      <c r="V12" s="300">
        <v>106146.9</v>
      </c>
      <c r="W12" s="300">
        <v>109730.4</v>
      </c>
      <c r="X12" s="300">
        <v>112157</v>
      </c>
      <c r="Y12" s="300">
        <v>114540.1</v>
      </c>
      <c r="Z12" s="300">
        <v>119414.6</v>
      </c>
      <c r="AA12" s="300">
        <v>124604.7</v>
      </c>
      <c r="AB12" s="300">
        <v>129648.6</v>
      </c>
      <c r="AC12" s="300">
        <v>133243.5</v>
      </c>
      <c r="AD12" s="300">
        <v>139722.5</v>
      </c>
      <c r="AE12" s="300">
        <v>143990.79999999999</v>
      </c>
      <c r="AF12" s="300">
        <v>144720</v>
      </c>
      <c r="AG12" s="410">
        <f t="shared" ref="AG12:AK12" si="8">AF12</f>
        <v>144720</v>
      </c>
      <c r="AH12" s="410">
        <f t="shared" si="8"/>
        <v>144720</v>
      </c>
      <c r="AI12" s="410">
        <f t="shared" si="8"/>
        <v>144720</v>
      </c>
      <c r="AJ12" s="410">
        <f t="shared" si="8"/>
        <v>144720</v>
      </c>
      <c r="AK12" s="411">
        <f t="shared" si="8"/>
        <v>144720</v>
      </c>
    </row>
    <row r="13" spans="1:37">
      <c r="A13" s="384" t="s">
        <v>262</v>
      </c>
      <c r="B13" s="299">
        <v>256589.3</v>
      </c>
      <c r="C13" s="300">
        <v>267669.09999999998</v>
      </c>
      <c r="D13" s="300">
        <v>284672.59999999998</v>
      </c>
      <c r="E13" s="300">
        <v>304403</v>
      </c>
      <c r="F13" s="300">
        <v>327167.40000000002</v>
      </c>
      <c r="G13" s="300">
        <v>346951.2</v>
      </c>
      <c r="H13" s="300">
        <v>370912.5</v>
      </c>
      <c r="I13" s="300">
        <v>401535.3</v>
      </c>
      <c r="J13" s="300">
        <v>429138.4</v>
      </c>
      <c r="K13" s="300">
        <v>458058.9</v>
      </c>
      <c r="L13" s="300">
        <v>490429.8</v>
      </c>
      <c r="M13" s="300">
        <v>519058.6</v>
      </c>
      <c r="N13" s="300">
        <v>553010.30000000005</v>
      </c>
      <c r="O13" s="300">
        <v>590483.1</v>
      </c>
      <c r="P13" s="300">
        <v>646630.6</v>
      </c>
      <c r="Q13" s="300">
        <v>705851.9</v>
      </c>
      <c r="R13" s="300">
        <v>750523.8</v>
      </c>
      <c r="S13" s="300">
        <v>782712.5</v>
      </c>
      <c r="T13" s="300">
        <v>763341.5</v>
      </c>
      <c r="U13" s="300">
        <v>735421</v>
      </c>
      <c r="V13" s="300">
        <v>746928.9</v>
      </c>
      <c r="W13" s="300">
        <v>755240</v>
      </c>
      <c r="X13" s="300">
        <v>778545</v>
      </c>
      <c r="Y13" s="300">
        <v>811751.7</v>
      </c>
      <c r="Z13" s="300">
        <v>851692.4</v>
      </c>
      <c r="AA13" s="300">
        <v>908519.9</v>
      </c>
      <c r="AB13" s="300">
        <v>953352.5</v>
      </c>
      <c r="AC13" s="300">
        <v>1003144</v>
      </c>
      <c r="AD13" s="300">
        <v>1057255.3999999999</v>
      </c>
      <c r="AE13" s="300">
        <v>1111392.2</v>
      </c>
      <c r="AF13" s="300">
        <v>1116726.8</v>
      </c>
      <c r="AG13" s="410">
        <f t="shared" ref="AG13:AK13" si="9">AF13</f>
        <v>1116726.8</v>
      </c>
      <c r="AH13" s="410">
        <f t="shared" si="9"/>
        <v>1116726.8</v>
      </c>
      <c r="AI13" s="410">
        <f t="shared" si="9"/>
        <v>1116726.8</v>
      </c>
      <c r="AJ13" s="410">
        <f t="shared" si="9"/>
        <v>1116726.8</v>
      </c>
      <c r="AK13" s="411">
        <f t="shared" si="9"/>
        <v>1116726.8</v>
      </c>
    </row>
    <row r="14" spans="1:37">
      <c r="A14" s="384" t="s">
        <v>263</v>
      </c>
      <c r="B14" s="299">
        <v>140646.1</v>
      </c>
      <c r="C14" s="300">
        <v>147759.79999999999</v>
      </c>
      <c r="D14" s="300">
        <v>160061.79999999999</v>
      </c>
      <c r="E14" s="300">
        <v>171658.9</v>
      </c>
      <c r="F14" s="300">
        <v>187995.6</v>
      </c>
      <c r="G14" s="300">
        <v>203397.1</v>
      </c>
      <c r="H14" s="300">
        <v>219989</v>
      </c>
      <c r="I14" s="300">
        <v>242540.79999999999</v>
      </c>
      <c r="J14" s="300">
        <v>265347.20000000001</v>
      </c>
      <c r="K14" s="300">
        <v>289187.90000000002</v>
      </c>
      <c r="L14" s="300">
        <v>305572</v>
      </c>
      <c r="M14" s="300">
        <v>317475.5</v>
      </c>
      <c r="N14" s="300">
        <v>327051.3</v>
      </c>
      <c r="O14" s="300">
        <v>342576.2</v>
      </c>
      <c r="P14" s="300">
        <v>364782</v>
      </c>
      <c r="Q14" s="300">
        <v>389537.7</v>
      </c>
      <c r="R14" s="300">
        <v>406015.6</v>
      </c>
      <c r="S14" s="300">
        <v>419606.3</v>
      </c>
      <c r="T14" s="300">
        <v>416377.59999999998</v>
      </c>
      <c r="U14" s="300">
        <v>409590.8</v>
      </c>
      <c r="V14" s="300">
        <v>418091.3</v>
      </c>
      <c r="W14" s="300">
        <v>431653.9</v>
      </c>
      <c r="X14" s="300">
        <v>447764.7</v>
      </c>
      <c r="Y14" s="300">
        <v>464752.8</v>
      </c>
      <c r="Z14" s="300">
        <v>490079.3</v>
      </c>
      <c r="AA14" s="300">
        <v>521008.2</v>
      </c>
      <c r="AB14" s="300">
        <v>547546.69999999995</v>
      </c>
      <c r="AC14" s="300">
        <v>573777.19999999995</v>
      </c>
      <c r="AD14" s="300">
        <v>602366.4</v>
      </c>
      <c r="AE14" s="300">
        <v>637992.5</v>
      </c>
      <c r="AF14" s="300">
        <v>625425.69999999995</v>
      </c>
      <c r="AG14" s="410">
        <f t="shared" ref="AG14:AK14" si="10">AF14</f>
        <v>625425.69999999995</v>
      </c>
      <c r="AH14" s="410">
        <f t="shared" si="10"/>
        <v>625425.69999999995</v>
      </c>
      <c r="AI14" s="410">
        <f t="shared" si="10"/>
        <v>625425.69999999995</v>
      </c>
      <c r="AJ14" s="410">
        <f t="shared" si="10"/>
        <v>625425.69999999995</v>
      </c>
      <c r="AK14" s="411">
        <f t="shared" si="10"/>
        <v>625425.69999999995</v>
      </c>
    </row>
    <row r="15" spans="1:37">
      <c r="A15" s="384" t="s">
        <v>264</v>
      </c>
      <c r="B15" s="299">
        <v>32534.3</v>
      </c>
      <c r="C15" s="300">
        <v>34356.699999999997</v>
      </c>
      <c r="D15" s="300">
        <v>36129.5</v>
      </c>
      <c r="E15" s="300">
        <v>36732.400000000001</v>
      </c>
      <c r="F15" s="300">
        <v>37394.9</v>
      </c>
      <c r="G15" s="300">
        <v>37763.1</v>
      </c>
      <c r="H15" s="300">
        <v>38124.6</v>
      </c>
      <c r="I15" s="300">
        <v>37707.4</v>
      </c>
      <c r="J15" s="300">
        <v>37622.9</v>
      </c>
      <c r="K15" s="300">
        <v>38990.6</v>
      </c>
      <c r="L15" s="300">
        <v>41096.800000000003</v>
      </c>
      <c r="M15" s="300">
        <v>42585.4</v>
      </c>
      <c r="N15" s="300">
        <v>44644.2</v>
      </c>
      <c r="O15" s="300">
        <v>48166.1</v>
      </c>
      <c r="P15" s="300">
        <v>52353.5</v>
      </c>
      <c r="Q15" s="300">
        <v>57369.4</v>
      </c>
      <c r="R15" s="300">
        <v>60846.5</v>
      </c>
      <c r="S15" s="300">
        <v>64163.6</v>
      </c>
      <c r="T15" s="300">
        <v>65678.2</v>
      </c>
      <c r="U15" s="300">
        <v>64549.7</v>
      </c>
      <c r="V15" s="300">
        <v>66872.899999999994</v>
      </c>
      <c r="W15" s="300">
        <v>69083.899999999994</v>
      </c>
      <c r="X15" s="300">
        <v>71905.3</v>
      </c>
      <c r="Y15" s="300">
        <v>74554.899999999994</v>
      </c>
      <c r="Z15" s="300">
        <v>76773.3</v>
      </c>
      <c r="AA15" s="300">
        <v>81230.3</v>
      </c>
      <c r="AB15" s="300">
        <v>83914.4</v>
      </c>
      <c r="AC15" s="300">
        <v>87217.4</v>
      </c>
      <c r="AD15" s="300">
        <v>90330.8</v>
      </c>
      <c r="AE15" s="300">
        <v>91912.7</v>
      </c>
      <c r="AF15" s="300">
        <v>82535.5</v>
      </c>
      <c r="AG15" s="410">
        <f t="shared" ref="AG15:AK15" si="11">AF15</f>
        <v>82535.5</v>
      </c>
      <c r="AH15" s="410">
        <f t="shared" si="11"/>
        <v>82535.5</v>
      </c>
      <c r="AI15" s="410">
        <f t="shared" si="11"/>
        <v>82535.5</v>
      </c>
      <c r="AJ15" s="410">
        <f t="shared" si="11"/>
        <v>82535.5</v>
      </c>
      <c r="AK15" s="411">
        <f t="shared" si="11"/>
        <v>82535.5</v>
      </c>
    </row>
    <row r="16" spans="1:37">
      <c r="A16" s="384" t="s">
        <v>265</v>
      </c>
      <c r="B16" s="299">
        <v>18004.2</v>
      </c>
      <c r="C16" s="300">
        <v>18851.7</v>
      </c>
      <c r="D16" s="300">
        <v>20631.599999999999</v>
      </c>
      <c r="E16" s="300">
        <v>23099.8</v>
      </c>
      <c r="F16" s="300">
        <v>25455.5</v>
      </c>
      <c r="G16" s="300">
        <v>27762.400000000001</v>
      </c>
      <c r="H16" s="300">
        <v>28914.6</v>
      </c>
      <c r="I16" s="300">
        <v>29496.9</v>
      </c>
      <c r="J16" s="300">
        <v>31059.8</v>
      </c>
      <c r="K16" s="300">
        <v>34239.9</v>
      </c>
      <c r="L16" s="300">
        <v>38083.1</v>
      </c>
      <c r="M16" s="300">
        <v>37489</v>
      </c>
      <c r="N16" s="300">
        <v>38673.199999999997</v>
      </c>
      <c r="O16" s="300">
        <v>40490.6</v>
      </c>
      <c r="P16" s="300">
        <v>44327.9</v>
      </c>
      <c r="Q16" s="300">
        <v>48642.8</v>
      </c>
      <c r="R16" s="300">
        <v>51125.8</v>
      </c>
      <c r="S16" s="300">
        <v>53934.5</v>
      </c>
      <c r="T16" s="300">
        <v>56200.800000000003</v>
      </c>
      <c r="U16" s="300">
        <v>54064.1</v>
      </c>
      <c r="V16" s="300">
        <v>55587.6</v>
      </c>
      <c r="W16" s="300">
        <v>56941.1</v>
      </c>
      <c r="X16" s="300">
        <v>58323.9</v>
      </c>
      <c r="Y16" s="300">
        <v>61835.8</v>
      </c>
      <c r="Z16" s="300">
        <v>64575.199999999997</v>
      </c>
      <c r="AA16" s="300">
        <v>65899.899999999994</v>
      </c>
      <c r="AB16" s="300">
        <v>68837.399999999994</v>
      </c>
      <c r="AC16" s="300">
        <v>71730.3</v>
      </c>
      <c r="AD16" s="300">
        <v>77395.399999999994</v>
      </c>
      <c r="AE16" s="300">
        <v>82847.199999999997</v>
      </c>
      <c r="AF16" s="300">
        <v>85927.8</v>
      </c>
      <c r="AG16" s="410">
        <f t="shared" ref="AG16:AK16" si="12">AF16</f>
        <v>85927.8</v>
      </c>
      <c r="AH16" s="410">
        <f t="shared" si="12"/>
        <v>85927.8</v>
      </c>
      <c r="AI16" s="410">
        <f t="shared" si="12"/>
        <v>85927.8</v>
      </c>
      <c r="AJ16" s="410">
        <f t="shared" si="12"/>
        <v>85927.8</v>
      </c>
      <c r="AK16" s="411">
        <f t="shared" si="12"/>
        <v>85927.8</v>
      </c>
    </row>
    <row r="17" spans="1:37">
      <c r="A17" s="384" t="s">
        <v>266</v>
      </c>
      <c r="B17" s="299">
        <v>279019.09999999998</v>
      </c>
      <c r="C17" s="300">
        <v>288473.5</v>
      </c>
      <c r="D17" s="300">
        <v>306236.3</v>
      </c>
      <c r="E17" s="300">
        <v>320078.90000000002</v>
      </c>
      <c r="F17" s="300">
        <v>347971.5</v>
      </c>
      <c r="G17" s="300">
        <v>364450.7</v>
      </c>
      <c r="H17" s="300">
        <v>383504.1</v>
      </c>
      <c r="I17" s="300">
        <v>415534.8</v>
      </c>
      <c r="J17" s="300">
        <v>436567.1</v>
      </c>
      <c r="K17" s="300">
        <v>460331.1</v>
      </c>
      <c r="L17" s="300">
        <v>487014.6</v>
      </c>
      <c r="M17" s="300">
        <v>501552.8</v>
      </c>
      <c r="N17" s="300">
        <v>514361.1</v>
      </c>
      <c r="O17" s="300">
        <v>533022.5</v>
      </c>
      <c r="P17" s="300">
        <v>563060.80000000005</v>
      </c>
      <c r="Q17" s="300">
        <v>589811.80000000005</v>
      </c>
      <c r="R17" s="300">
        <v>624242.9</v>
      </c>
      <c r="S17" s="300">
        <v>650145.19999999995</v>
      </c>
      <c r="T17" s="300">
        <v>654657.5</v>
      </c>
      <c r="U17" s="300">
        <v>649862.69999999995</v>
      </c>
      <c r="V17" s="300">
        <v>666404.80000000005</v>
      </c>
      <c r="W17" s="300">
        <v>692880.8</v>
      </c>
      <c r="X17" s="300">
        <v>726399.1</v>
      </c>
      <c r="Y17" s="300">
        <v>741121.5</v>
      </c>
      <c r="Z17" s="300">
        <v>771356.1</v>
      </c>
      <c r="AA17" s="300">
        <v>799930.5</v>
      </c>
      <c r="AB17" s="300">
        <v>807043.2</v>
      </c>
      <c r="AC17" s="300">
        <v>824913.4</v>
      </c>
      <c r="AD17" s="300">
        <v>865661</v>
      </c>
      <c r="AE17" s="300">
        <v>889540.1</v>
      </c>
      <c r="AF17" s="300">
        <v>856942.9</v>
      </c>
      <c r="AG17" s="410">
        <f t="shared" ref="AG17:AK17" si="13">AF17</f>
        <v>856942.9</v>
      </c>
      <c r="AH17" s="410">
        <f t="shared" si="13"/>
        <v>856942.9</v>
      </c>
      <c r="AI17" s="410">
        <f t="shared" si="13"/>
        <v>856942.9</v>
      </c>
      <c r="AJ17" s="410">
        <f t="shared" si="13"/>
        <v>856942.9</v>
      </c>
      <c r="AK17" s="411">
        <f t="shared" si="13"/>
        <v>856942.9</v>
      </c>
    </row>
    <row r="18" spans="1:37">
      <c r="A18" s="384" t="s">
        <v>267</v>
      </c>
      <c r="B18" s="299">
        <v>110859.6</v>
      </c>
      <c r="C18" s="300">
        <v>114637</v>
      </c>
      <c r="D18" s="300">
        <v>124714.3</v>
      </c>
      <c r="E18" s="300">
        <v>132108.20000000001</v>
      </c>
      <c r="F18" s="300">
        <v>143335.20000000001</v>
      </c>
      <c r="G18" s="300">
        <v>150403.9</v>
      </c>
      <c r="H18" s="300">
        <v>158350.1</v>
      </c>
      <c r="I18" s="300">
        <v>170431.9</v>
      </c>
      <c r="J18" s="300">
        <v>184359.8</v>
      </c>
      <c r="K18" s="300">
        <v>193147.3</v>
      </c>
      <c r="L18" s="300">
        <v>203801.1</v>
      </c>
      <c r="M18" s="300">
        <v>205470.9</v>
      </c>
      <c r="N18" s="300">
        <v>212837.8</v>
      </c>
      <c r="O18" s="300">
        <v>225442.7</v>
      </c>
      <c r="P18" s="300">
        <v>239743.6</v>
      </c>
      <c r="Q18" s="300">
        <v>248170.5</v>
      </c>
      <c r="R18" s="300">
        <v>259602.8</v>
      </c>
      <c r="S18" s="300">
        <v>273509.5</v>
      </c>
      <c r="T18" s="300">
        <v>275538.7</v>
      </c>
      <c r="U18" s="300">
        <v>263326.8</v>
      </c>
      <c r="V18" s="300">
        <v>282562.2</v>
      </c>
      <c r="W18" s="300">
        <v>291356.09999999998</v>
      </c>
      <c r="X18" s="300">
        <v>300513.90000000002</v>
      </c>
      <c r="Y18" s="300">
        <v>312138.5</v>
      </c>
      <c r="Z18" s="300">
        <v>327958.3</v>
      </c>
      <c r="AA18" s="300">
        <v>331945.7</v>
      </c>
      <c r="AB18" s="300">
        <v>340500.7</v>
      </c>
      <c r="AC18" s="300">
        <v>352601</v>
      </c>
      <c r="AD18" s="300">
        <v>373196.79999999999</v>
      </c>
      <c r="AE18" s="300">
        <v>381132.3</v>
      </c>
      <c r="AF18" s="300">
        <v>373781.6</v>
      </c>
      <c r="AG18" s="410">
        <f t="shared" ref="AG18:AK18" si="14">AF18</f>
        <v>373781.6</v>
      </c>
      <c r="AH18" s="410">
        <f t="shared" si="14"/>
        <v>373781.6</v>
      </c>
      <c r="AI18" s="410">
        <f t="shared" si="14"/>
        <v>373781.6</v>
      </c>
      <c r="AJ18" s="410">
        <f t="shared" si="14"/>
        <v>373781.6</v>
      </c>
      <c r="AK18" s="411">
        <f t="shared" si="14"/>
        <v>373781.6</v>
      </c>
    </row>
    <row r="19" spans="1:37">
      <c r="A19" s="384" t="s">
        <v>268</v>
      </c>
      <c r="B19" s="299">
        <v>56121.5</v>
      </c>
      <c r="C19" s="300">
        <v>57944.2</v>
      </c>
      <c r="D19" s="300">
        <v>61870.3</v>
      </c>
      <c r="E19" s="300">
        <v>63385.5</v>
      </c>
      <c r="F19" s="300">
        <v>70161</v>
      </c>
      <c r="G19" s="300">
        <v>73136.600000000006</v>
      </c>
      <c r="H19" s="300">
        <v>78819.199999999997</v>
      </c>
      <c r="I19" s="300">
        <v>82720.399999999994</v>
      </c>
      <c r="J19" s="300">
        <v>84644</v>
      </c>
      <c r="K19" s="300">
        <v>87782.399999999994</v>
      </c>
      <c r="L19" s="300">
        <v>93112</v>
      </c>
      <c r="M19" s="300">
        <v>94837.8</v>
      </c>
      <c r="N19" s="300">
        <v>98557</v>
      </c>
      <c r="O19" s="300">
        <v>105123.3</v>
      </c>
      <c r="P19" s="300">
        <v>117188.5</v>
      </c>
      <c r="Q19" s="300">
        <v>123190.9</v>
      </c>
      <c r="R19" s="300">
        <v>127896.3</v>
      </c>
      <c r="S19" s="300">
        <v>137930.20000000001</v>
      </c>
      <c r="T19" s="300">
        <v>137548.5</v>
      </c>
      <c r="U19" s="300">
        <v>136894.6</v>
      </c>
      <c r="V19" s="300">
        <v>142233.9</v>
      </c>
      <c r="W19" s="300">
        <v>148477.6</v>
      </c>
      <c r="X19" s="300">
        <v>158538.4</v>
      </c>
      <c r="Y19" s="300">
        <v>162200.29999999999</v>
      </c>
      <c r="Z19" s="300">
        <v>173095.9</v>
      </c>
      <c r="AA19" s="300">
        <v>180299.3</v>
      </c>
      <c r="AB19" s="300">
        <v>181011.4</v>
      </c>
      <c r="AC19" s="300">
        <v>184561.3</v>
      </c>
      <c r="AD19" s="300">
        <v>191516.6</v>
      </c>
      <c r="AE19" s="300">
        <v>195708.7</v>
      </c>
      <c r="AF19" s="300">
        <v>196982.9</v>
      </c>
      <c r="AG19" s="410">
        <f t="shared" ref="AG19:AK19" si="15">AF19</f>
        <v>196982.9</v>
      </c>
      <c r="AH19" s="410">
        <f t="shared" si="15"/>
        <v>196982.9</v>
      </c>
      <c r="AI19" s="410">
        <f t="shared" si="15"/>
        <v>196982.9</v>
      </c>
      <c r="AJ19" s="410">
        <f t="shared" si="15"/>
        <v>196982.9</v>
      </c>
      <c r="AK19" s="411">
        <f t="shared" si="15"/>
        <v>196982.9</v>
      </c>
    </row>
    <row r="20" spans="1:37">
      <c r="A20" s="384" t="s">
        <v>269</v>
      </c>
      <c r="B20" s="299">
        <v>51873.7</v>
      </c>
      <c r="C20" s="300">
        <v>53980.7</v>
      </c>
      <c r="D20" s="300">
        <v>56901.7</v>
      </c>
      <c r="E20" s="300">
        <v>58953.2</v>
      </c>
      <c r="F20" s="300">
        <v>63304.1</v>
      </c>
      <c r="G20" s="300">
        <v>65281.9</v>
      </c>
      <c r="H20" s="300">
        <v>69616.100000000006</v>
      </c>
      <c r="I20" s="300">
        <v>74662.3</v>
      </c>
      <c r="J20" s="300">
        <v>78382</v>
      </c>
      <c r="K20" s="300">
        <v>81883.8</v>
      </c>
      <c r="L20" s="300">
        <v>86099</v>
      </c>
      <c r="M20" s="300">
        <v>88883.6</v>
      </c>
      <c r="N20" s="300">
        <v>91584.2</v>
      </c>
      <c r="O20" s="300">
        <v>95359.9</v>
      </c>
      <c r="P20" s="300">
        <v>99083</v>
      </c>
      <c r="Q20" s="300">
        <v>105526.3</v>
      </c>
      <c r="R20" s="300">
        <v>114091.9</v>
      </c>
      <c r="S20" s="300">
        <v>123878.7</v>
      </c>
      <c r="T20" s="300">
        <v>128604.3</v>
      </c>
      <c r="U20" s="300">
        <v>125348.9</v>
      </c>
      <c r="V20" s="300">
        <v>128591.3</v>
      </c>
      <c r="W20" s="300">
        <v>136358.9</v>
      </c>
      <c r="X20" s="300">
        <v>141818.20000000001</v>
      </c>
      <c r="Y20" s="300">
        <v>144483.20000000001</v>
      </c>
      <c r="Z20" s="300">
        <v>150183.6</v>
      </c>
      <c r="AA20" s="300">
        <v>154958.20000000001</v>
      </c>
      <c r="AB20" s="300">
        <v>160451</v>
      </c>
      <c r="AC20" s="300">
        <v>165182.5</v>
      </c>
      <c r="AD20" s="300">
        <v>172343</v>
      </c>
      <c r="AE20" s="300">
        <v>176564.4</v>
      </c>
      <c r="AF20" s="300">
        <v>177580.9</v>
      </c>
      <c r="AG20" s="410">
        <f t="shared" ref="AG20:AK20" si="16">AF20</f>
        <v>177580.9</v>
      </c>
      <c r="AH20" s="410">
        <f t="shared" si="16"/>
        <v>177580.9</v>
      </c>
      <c r="AI20" s="410">
        <f t="shared" si="16"/>
        <v>177580.9</v>
      </c>
      <c r="AJ20" s="410">
        <f t="shared" si="16"/>
        <v>177580.9</v>
      </c>
      <c r="AK20" s="411">
        <f t="shared" si="16"/>
        <v>177580.9</v>
      </c>
    </row>
    <row r="21" spans="1:37">
      <c r="A21" s="384" t="s">
        <v>270</v>
      </c>
      <c r="B21" s="299">
        <v>68412.100000000006</v>
      </c>
      <c r="C21" s="300">
        <v>71679.199999999997</v>
      </c>
      <c r="D21" s="300">
        <v>77531.399999999994</v>
      </c>
      <c r="E21" s="300">
        <v>81618.100000000006</v>
      </c>
      <c r="F21" s="300">
        <v>87645.7</v>
      </c>
      <c r="G21" s="300">
        <v>91914.7</v>
      </c>
      <c r="H21" s="300">
        <v>96616.8</v>
      </c>
      <c r="I21" s="300">
        <v>104546.2</v>
      </c>
      <c r="J21" s="300">
        <v>109382.3</v>
      </c>
      <c r="K21" s="300">
        <v>115106.8</v>
      </c>
      <c r="L21" s="300">
        <v>114169.2</v>
      </c>
      <c r="M21" s="300">
        <v>117647.9</v>
      </c>
      <c r="N21" s="300">
        <v>122435.3</v>
      </c>
      <c r="O21" s="300">
        <v>127982.2</v>
      </c>
      <c r="P21" s="300">
        <v>135529.29999999999</v>
      </c>
      <c r="Q21" s="300">
        <v>145011.1</v>
      </c>
      <c r="R21" s="300">
        <v>153408.4</v>
      </c>
      <c r="S21" s="300">
        <v>157163.70000000001</v>
      </c>
      <c r="T21" s="300">
        <v>159883.79999999999</v>
      </c>
      <c r="U21" s="300">
        <v>157479.79999999999</v>
      </c>
      <c r="V21" s="300">
        <v>166408.70000000001</v>
      </c>
      <c r="W21" s="300">
        <v>171586.9</v>
      </c>
      <c r="X21" s="300">
        <v>178143.7</v>
      </c>
      <c r="Y21" s="300">
        <v>184524.4</v>
      </c>
      <c r="Z21" s="300">
        <v>187983.8</v>
      </c>
      <c r="AA21" s="300">
        <v>193413.1</v>
      </c>
      <c r="AB21" s="300">
        <v>196484.9</v>
      </c>
      <c r="AC21" s="300">
        <v>201872.2</v>
      </c>
      <c r="AD21" s="300">
        <v>208558.6</v>
      </c>
      <c r="AE21" s="300">
        <v>218494.7</v>
      </c>
      <c r="AF21" s="300">
        <v>216865.6</v>
      </c>
      <c r="AG21" s="410">
        <f t="shared" ref="AG21:AK21" si="17">AF21</f>
        <v>216865.6</v>
      </c>
      <c r="AH21" s="410">
        <f t="shared" si="17"/>
        <v>216865.6</v>
      </c>
      <c r="AI21" s="410">
        <f t="shared" si="17"/>
        <v>216865.6</v>
      </c>
      <c r="AJ21" s="410">
        <f t="shared" si="17"/>
        <v>216865.6</v>
      </c>
      <c r="AK21" s="411">
        <f t="shared" si="17"/>
        <v>216865.6</v>
      </c>
    </row>
    <row r="22" spans="1:37">
      <c r="A22" s="384" t="s">
        <v>271</v>
      </c>
      <c r="B22" s="299">
        <v>95177.1</v>
      </c>
      <c r="C22" s="300">
        <v>96043.199999999997</v>
      </c>
      <c r="D22" s="300">
        <v>90889.7</v>
      </c>
      <c r="E22" s="300">
        <v>95866.4</v>
      </c>
      <c r="F22" s="300">
        <v>105118.9</v>
      </c>
      <c r="G22" s="300">
        <v>112875.7</v>
      </c>
      <c r="H22" s="300">
        <v>118807.2</v>
      </c>
      <c r="I22" s="300">
        <v>116313.2</v>
      </c>
      <c r="J22" s="300">
        <v>120198.1</v>
      </c>
      <c r="K22" s="300">
        <v>125807.3</v>
      </c>
      <c r="L22" s="300">
        <v>132640.79999999999</v>
      </c>
      <c r="M22" s="300">
        <v>137901.20000000001</v>
      </c>
      <c r="N22" s="300">
        <v>139800.9</v>
      </c>
      <c r="O22" s="300">
        <v>155092.4</v>
      </c>
      <c r="P22" s="300">
        <v>171006.1</v>
      </c>
      <c r="Q22" s="300">
        <v>199594.7</v>
      </c>
      <c r="R22" s="300">
        <v>207773.8</v>
      </c>
      <c r="S22" s="300">
        <v>203041</v>
      </c>
      <c r="T22" s="300">
        <v>212392.4</v>
      </c>
      <c r="U22" s="300">
        <v>204906.9</v>
      </c>
      <c r="V22" s="300">
        <v>225308.9</v>
      </c>
      <c r="W22" s="300">
        <v>229945</v>
      </c>
      <c r="X22" s="300">
        <v>235384.7</v>
      </c>
      <c r="Y22" s="300">
        <v>230832.5</v>
      </c>
      <c r="Z22" s="300">
        <v>240737.3</v>
      </c>
      <c r="AA22" s="300">
        <v>235113.5</v>
      </c>
      <c r="AB22" s="300">
        <v>227090.7</v>
      </c>
      <c r="AC22" s="300">
        <v>241213.4</v>
      </c>
      <c r="AD22" s="300">
        <v>256677.8</v>
      </c>
      <c r="AE22" s="300">
        <v>255481.9</v>
      </c>
      <c r="AF22" s="300">
        <v>232527.8</v>
      </c>
      <c r="AG22" s="410">
        <f t="shared" ref="AG22:AK22" si="18">AF22</f>
        <v>232527.8</v>
      </c>
      <c r="AH22" s="410">
        <f t="shared" si="18"/>
        <v>232527.8</v>
      </c>
      <c r="AI22" s="410">
        <f t="shared" si="18"/>
        <v>232527.8</v>
      </c>
      <c r="AJ22" s="410">
        <f t="shared" si="18"/>
        <v>232527.8</v>
      </c>
      <c r="AK22" s="411">
        <f t="shared" si="18"/>
        <v>232527.8</v>
      </c>
    </row>
    <row r="23" spans="1:37">
      <c r="A23" s="384" t="s">
        <v>272</v>
      </c>
      <c r="B23" s="299">
        <v>23256.1</v>
      </c>
      <c r="C23" s="300">
        <v>23378.6</v>
      </c>
      <c r="D23" s="300">
        <v>24329.4</v>
      </c>
      <c r="E23" s="300">
        <v>25201.9</v>
      </c>
      <c r="F23" s="300">
        <v>26543.5</v>
      </c>
      <c r="G23" s="300">
        <v>28152.6</v>
      </c>
      <c r="H23" s="300">
        <v>29255.9</v>
      </c>
      <c r="I23" s="300">
        <v>30618.400000000001</v>
      </c>
      <c r="J23" s="300">
        <v>32156.2</v>
      </c>
      <c r="K23" s="300">
        <v>34413.199999999997</v>
      </c>
      <c r="L23" s="300">
        <v>36890.300000000003</v>
      </c>
      <c r="M23" s="300">
        <v>38605.699999999997</v>
      </c>
      <c r="N23" s="300">
        <v>40466.199999999997</v>
      </c>
      <c r="O23" s="300">
        <v>42315.199999999997</v>
      </c>
      <c r="P23" s="300">
        <v>45210</v>
      </c>
      <c r="Q23" s="300">
        <v>47078.5</v>
      </c>
      <c r="R23" s="300">
        <v>49045.4</v>
      </c>
      <c r="S23" s="300">
        <v>50459.3</v>
      </c>
      <c r="T23" s="300">
        <v>50713.2</v>
      </c>
      <c r="U23" s="300">
        <v>51123.8</v>
      </c>
      <c r="V23" s="300">
        <v>52256.2</v>
      </c>
      <c r="W23" s="300">
        <v>52575.5</v>
      </c>
      <c r="X23" s="300">
        <v>53679.7</v>
      </c>
      <c r="Y23" s="300">
        <v>54470.1</v>
      </c>
      <c r="Z23" s="300">
        <v>56410.8</v>
      </c>
      <c r="AA23" s="300">
        <v>58131.3</v>
      </c>
      <c r="AB23" s="300">
        <v>60254.400000000001</v>
      </c>
      <c r="AC23" s="300">
        <v>62253.599999999999</v>
      </c>
      <c r="AD23" s="300">
        <v>65477.1</v>
      </c>
      <c r="AE23" s="300">
        <v>68690.399999999994</v>
      </c>
      <c r="AF23" s="300">
        <v>70740</v>
      </c>
      <c r="AG23" s="410">
        <f t="shared" ref="AG23:AK23" si="19">AF23</f>
        <v>70740</v>
      </c>
      <c r="AH23" s="410">
        <f t="shared" si="19"/>
        <v>70740</v>
      </c>
      <c r="AI23" s="410">
        <f t="shared" si="19"/>
        <v>70740</v>
      </c>
      <c r="AJ23" s="410">
        <f t="shared" si="19"/>
        <v>70740</v>
      </c>
      <c r="AK23" s="411">
        <f t="shared" si="19"/>
        <v>70740</v>
      </c>
    </row>
    <row r="24" spans="1:37">
      <c r="A24" s="384" t="s">
        <v>273</v>
      </c>
      <c r="B24" s="299">
        <v>112834.8</v>
      </c>
      <c r="C24" s="300">
        <v>115427.6</v>
      </c>
      <c r="D24" s="300">
        <v>119535.3</v>
      </c>
      <c r="E24" s="300">
        <v>125515.4</v>
      </c>
      <c r="F24" s="300">
        <v>133311.29999999999</v>
      </c>
      <c r="G24" s="300">
        <v>139070.1</v>
      </c>
      <c r="H24" s="300">
        <v>145023.1</v>
      </c>
      <c r="I24" s="300">
        <v>159372.1</v>
      </c>
      <c r="J24" s="300">
        <v>169982.1</v>
      </c>
      <c r="K24" s="300">
        <v>180261.6</v>
      </c>
      <c r="L24" s="300">
        <v>192021.4</v>
      </c>
      <c r="M24" s="300">
        <v>205981</v>
      </c>
      <c r="N24" s="300">
        <v>217837.1</v>
      </c>
      <c r="O24" s="300">
        <v>228959.3</v>
      </c>
      <c r="P24" s="300">
        <v>245124.5</v>
      </c>
      <c r="Q24" s="300">
        <v>262100</v>
      </c>
      <c r="R24" s="300">
        <v>274145.3</v>
      </c>
      <c r="S24" s="300">
        <v>282965.59999999998</v>
      </c>
      <c r="T24" s="300">
        <v>295400.2</v>
      </c>
      <c r="U24" s="300">
        <v>299102.7</v>
      </c>
      <c r="V24" s="300">
        <v>314728.3</v>
      </c>
      <c r="W24" s="300">
        <v>326281.2</v>
      </c>
      <c r="X24" s="300">
        <v>332523.5</v>
      </c>
      <c r="Y24" s="300">
        <v>340577.6</v>
      </c>
      <c r="Z24" s="300">
        <v>352761.3</v>
      </c>
      <c r="AA24" s="300">
        <v>369728.1</v>
      </c>
      <c r="AB24" s="300">
        <v>387733.4</v>
      </c>
      <c r="AC24" s="300">
        <v>400157</v>
      </c>
      <c r="AD24" s="300">
        <v>410812.2</v>
      </c>
      <c r="AE24" s="300">
        <v>420371.3</v>
      </c>
      <c r="AF24" s="300">
        <v>410931</v>
      </c>
      <c r="AG24" s="410">
        <f t="shared" ref="AG24:AK24" si="20">AF24</f>
        <v>410931</v>
      </c>
      <c r="AH24" s="410">
        <f t="shared" si="20"/>
        <v>410931</v>
      </c>
      <c r="AI24" s="410">
        <f t="shared" si="20"/>
        <v>410931</v>
      </c>
      <c r="AJ24" s="410">
        <f t="shared" si="20"/>
        <v>410931</v>
      </c>
      <c r="AK24" s="411">
        <f t="shared" si="20"/>
        <v>410931</v>
      </c>
    </row>
    <row r="25" spans="1:37">
      <c r="A25" s="384" t="s">
        <v>274</v>
      </c>
      <c r="B25" s="299">
        <v>159504.9</v>
      </c>
      <c r="C25" s="300">
        <v>160727.6</v>
      </c>
      <c r="D25" s="300">
        <v>167434.9</v>
      </c>
      <c r="E25" s="300">
        <v>173527.4</v>
      </c>
      <c r="F25" s="300">
        <v>185710.2</v>
      </c>
      <c r="G25" s="300">
        <v>196408.7</v>
      </c>
      <c r="H25" s="300">
        <v>210630.5</v>
      </c>
      <c r="I25" s="300">
        <v>237267.4</v>
      </c>
      <c r="J25" s="300">
        <v>249299</v>
      </c>
      <c r="K25" s="300">
        <v>264644.40000000002</v>
      </c>
      <c r="L25" s="300">
        <v>288791</v>
      </c>
      <c r="M25" s="300">
        <v>296868.7</v>
      </c>
      <c r="N25" s="300">
        <v>301836.40000000002</v>
      </c>
      <c r="O25" s="300">
        <v>311188.59999999998</v>
      </c>
      <c r="P25" s="300">
        <v>326737.09999999998</v>
      </c>
      <c r="Q25" s="300">
        <v>341993.2</v>
      </c>
      <c r="R25" s="300">
        <v>359270</v>
      </c>
      <c r="S25" s="300">
        <v>378519.1</v>
      </c>
      <c r="T25" s="300">
        <v>390778.4</v>
      </c>
      <c r="U25" s="300">
        <v>390504.8</v>
      </c>
      <c r="V25" s="300">
        <v>411136.1</v>
      </c>
      <c r="W25" s="300">
        <v>425523</v>
      </c>
      <c r="X25" s="300">
        <v>442916.9</v>
      </c>
      <c r="Y25" s="300">
        <v>454321.2</v>
      </c>
      <c r="Z25" s="300">
        <v>470468.5</v>
      </c>
      <c r="AA25" s="300">
        <v>498851.3</v>
      </c>
      <c r="AB25" s="300">
        <v>514637.6</v>
      </c>
      <c r="AC25" s="300">
        <v>531008</v>
      </c>
      <c r="AD25" s="300">
        <v>563054.30000000005</v>
      </c>
      <c r="AE25" s="300">
        <v>589904.30000000005</v>
      </c>
      <c r="AF25" s="300">
        <v>585150.30000000005</v>
      </c>
      <c r="AG25" s="410">
        <f t="shared" ref="AG25:AK25" si="21">AF25</f>
        <v>585150.30000000005</v>
      </c>
      <c r="AH25" s="410">
        <f t="shared" si="21"/>
        <v>585150.30000000005</v>
      </c>
      <c r="AI25" s="410">
        <f t="shared" si="21"/>
        <v>585150.30000000005</v>
      </c>
      <c r="AJ25" s="410">
        <f t="shared" si="21"/>
        <v>585150.30000000005</v>
      </c>
      <c r="AK25" s="411">
        <f t="shared" si="21"/>
        <v>585150.30000000005</v>
      </c>
    </row>
    <row r="26" spans="1:37">
      <c r="A26" s="384" t="s">
        <v>275</v>
      </c>
      <c r="B26" s="299">
        <v>193102.7</v>
      </c>
      <c r="C26" s="300">
        <v>197717.2</v>
      </c>
      <c r="D26" s="300">
        <v>212056.8</v>
      </c>
      <c r="E26" s="300">
        <v>226368</v>
      </c>
      <c r="F26" s="300">
        <v>251483.9</v>
      </c>
      <c r="G26" s="300">
        <v>256614.9</v>
      </c>
      <c r="H26" s="300">
        <v>270319.7</v>
      </c>
      <c r="I26" s="300">
        <v>299817.7</v>
      </c>
      <c r="J26" s="300">
        <v>312688.09999999998</v>
      </c>
      <c r="K26" s="300">
        <v>338312.4</v>
      </c>
      <c r="L26" s="300">
        <v>352152.4</v>
      </c>
      <c r="M26" s="300">
        <v>349885.8</v>
      </c>
      <c r="N26" s="300">
        <v>363660.79999999999</v>
      </c>
      <c r="O26" s="300">
        <v>374174.2</v>
      </c>
      <c r="P26" s="300">
        <v>385621.1</v>
      </c>
      <c r="Q26" s="300">
        <v>400268.9</v>
      </c>
      <c r="R26" s="300">
        <v>401869</v>
      </c>
      <c r="S26" s="300">
        <v>409615.4</v>
      </c>
      <c r="T26" s="300">
        <v>390420.9</v>
      </c>
      <c r="U26" s="300">
        <v>368733.8</v>
      </c>
      <c r="V26" s="300">
        <v>390043</v>
      </c>
      <c r="W26" s="300">
        <v>404554.7</v>
      </c>
      <c r="X26" s="300">
        <v>422691.2</v>
      </c>
      <c r="Y26" s="300">
        <v>437274.4</v>
      </c>
      <c r="Z26" s="300">
        <v>451773.2</v>
      </c>
      <c r="AA26" s="300">
        <v>474983.3</v>
      </c>
      <c r="AB26" s="300">
        <v>490264</v>
      </c>
      <c r="AC26" s="300">
        <v>502130.4</v>
      </c>
      <c r="AD26" s="300">
        <v>520245.1</v>
      </c>
      <c r="AE26" s="300">
        <v>532217</v>
      </c>
      <c r="AF26" s="300">
        <v>520105.3</v>
      </c>
      <c r="AG26" s="410">
        <f t="shared" ref="AG26:AK26" si="22">AF26</f>
        <v>520105.3</v>
      </c>
      <c r="AH26" s="410">
        <f t="shared" si="22"/>
        <v>520105.3</v>
      </c>
      <c r="AI26" s="410">
        <f t="shared" si="22"/>
        <v>520105.3</v>
      </c>
      <c r="AJ26" s="410">
        <f t="shared" si="22"/>
        <v>520105.3</v>
      </c>
      <c r="AK26" s="411">
        <f t="shared" si="22"/>
        <v>520105.3</v>
      </c>
    </row>
    <row r="27" spans="1:37">
      <c r="A27" s="384" t="s">
        <v>276</v>
      </c>
      <c r="B27" s="299">
        <v>102756.6</v>
      </c>
      <c r="C27" s="300">
        <v>106102.5</v>
      </c>
      <c r="D27" s="300">
        <v>114517.8</v>
      </c>
      <c r="E27" s="300">
        <v>117947.4</v>
      </c>
      <c r="F27" s="300">
        <v>128167.2</v>
      </c>
      <c r="G27" s="300">
        <v>135124.1</v>
      </c>
      <c r="H27" s="300">
        <v>145880.29999999999</v>
      </c>
      <c r="I27" s="300">
        <v>156351.4</v>
      </c>
      <c r="J27" s="300">
        <v>166904.79999999999</v>
      </c>
      <c r="K27" s="300">
        <v>175759.3</v>
      </c>
      <c r="L27" s="300">
        <v>191515</v>
      </c>
      <c r="M27" s="300">
        <v>196006.1</v>
      </c>
      <c r="N27" s="300">
        <v>203713.8</v>
      </c>
      <c r="O27" s="300">
        <v>215721.8</v>
      </c>
      <c r="P27" s="300">
        <v>231267.1</v>
      </c>
      <c r="Q27" s="300">
        <v>245380.5</v>
      </c>
      <c r="R27" s="300">
        <v>252295.9</v>
      </c>
      <c r="S27" s="300">
        <v>262063.1</v>
      </c>
      <c r="T27" s="300">
        <v>267420.59999999998</v>
      </c>
      <c r="U27" s="300">
        <v>262088.9</v>
      </c>
      <c r="V27" s="300">
        <v>274231.3</v>
      </c>
      <c r="W27" s="300">
        <v>287039.3</v>
      </c>
      <c r="X27" s="300">
        <v>298328.3</v>
      </c>
      <c r="Y27" s="300">
        <v>311126.40000000002</v>
      </c>
      <c r="Z27" s="300">
        <v>324751.40000000002</v>
      </c>
      <c r="AA27" s="300">
        <v>335530.2</v>
      </c>
      <c r="AB27" s="300">
        <v>344060.8</v>
      </c>
      <c r="AC27" s="300">
        <v>353664.9</v>
      </c>
      <c r="AD27" s="300">
        <v>372011.3</v>
      </c>
      <c r="AE27" s="300">
        <v>383956.6</v>
      </c>
      <c r="AF27" s="300">
        <v>376814.4</v>
      </c>
      <c r="AG27" s="410">
        <f t="shared" ref="AG27:AK27" si="23">AF27</f>
        <v>376814.4</v>
      </c>
      <c r="AH27" s="410">
        <f t="shared" si="23"/>
        <v>376814.4</v>
      </c>
      <c r="AI27" s="410">
        <f t="shared" si="23"/>
        <v>376814.4</v>
      </c>
      <c r="AJ27" s="410">
        <f t="shared" si="23"/>
        <v>376814.4</v>
      </c>
      <c r="AK27" s="411">
        <f t="shared" si="23"/>
        <v>376814.4</v>
      </c>
    </row>
    <row r="28" spans="1:37">
      <c r="A28" s="384" t="s">
        <v>277</v>
      </c>
      <c r="B28" s="299">
        <v>38757</v>
      </c>
      <c r="C28" s="300">
        <v>40862.1</v>
      </c>
      <c r="D28" s="300">
        <v>44011.8</v>
      </c>
      <c r="E28" s="300">
        <v>47340.3</v>
      </c>
      <c r="F28" s="300">
        <v>51601.599999999999</v>
      </c>
      <c r="G28" s="300">
        <v>54984.3</v>
      </c>
      <c r="H28" s="300">
        <v>57460.1</v>
      </c>
      <c r="I28" s="300">
        <v>58352.7</v>
      </c>
      <c r="J28" s="300">
        <v>60940.4</v>
      </c>
      <c r="K28" s="300">
        <v>63879</v>
      </c>
      <c r="L28" s="300">
        <v>65673.100000000006</v>
      </c>
      <c r="M28" s="300">
        <v>67174</v>
      </c>
      <c r="N28" s="300">
        <v>69259.899999999994</v>
      </c>
      <c r="O28" s="300">
        <v>73961.899999999994</v>
      </c>
      <c r="P28" s="300">
        <v>77998</v>
      </c>
      <c r="Q28" s="300">
        <v>82448.5</v>
      </c>
      <c r="R28" s="300">
        <v>87099.5</v>
      </c>
      <c r="S28" s="300">
        <v>91191.4</v>
      </c>
      <c r="T28" s="300">
        <v>94514.5</v>
      </c>
      <c r="U28" s="300">
        <v>91792.2</v>
      </c>
      <c r="V28" s="300">
        <v>93943.1</v>
      </c>
      <c r="W28" s="300">
        <v>96218</v>
      </c>
      <c r="X28" s="300">
        <v>100448.4</v>
      </c>
      <c r="Y28" s="300">
        <v>102371</v>
      </c>
      <c r="Z28" s="300">
        <v>104300.3</v>
      </c>
      <c r="AA28" s="300">
        <v>105914.6</v>
      </c>
      <c r="AB28" s="300">
        <v>107291.4</v>
      </c>
      <c r="AC28" s="300">
        <v>109600.8</v>
      </c>
      <c r="AD28" s="300">
        <v>112201.7</v>
      </c>
      <c r="AE28" s="300">
        <v>114234.4</v>
      </c>
      <c r="AF28" s="300">
        <v>115123.4</v>
      </c>
      <c r="AG28" s="410">
        <f t="shared" ref="AG28:AK28" si="24">AF28</f>
        <v>115123.4</v>
      </c>
      <c r="AH28" s="410">
        <f t="shared" si="24"/>
        <v>115123.4</v>
      </c>
      <c r="AI28" s="410">
        <f t="shared" si="24"/>
        <v>115123.4</v>
      </c>
      <c r="AJ28" s="410">
        <f t="shared" si="24"/>
        <v>115123.4</v>
      </c>
      <c r="AK28" s="411">
        <f t="shared" si="24"/>
        <v>115123.4</v>
      </c>
    </row>
    <row r="29" spans="1:37">
      <c r="A29" s="384" t="s">
        <v>278</v>
      </c>
      <c r="B29" s="299">
        <v>103565.7</v>
      </c>
      <c r="C29" s="300">
        <v>109161.60000000001</v>
      </c>
      <c r="D29" s="300">
        <v>115288.4</v>
      </c>
      <c r="E29" s="300">
        <v>118905.60000000001</v>
      </c>
      <c r="F29" s="300">
        <v>130566.7</v>
      </c>
      <c r="G29" s="300">
        <v>140059.79999999999</v>
      </c>
      <c r="H29" s="300">
        <v>148256.79999999999</v>
      </c>
      <c r="I29" s="300">
        <v>163175.6</v>
      </c>
      <c r="J29" s="300">
        <v>169483.4</v>
      </c>
      <c r="K29" s="300">
        <v>177738</v>
      </c>
      <c r="L29" s="300">
        <v>186650</v>
      </c>
      <c r="M29" s="300">
        <v>190657.1</v>
      </c>
      <c r="N29" s="300">
        <v>197557.7</v>
      </c>
      <c r="O29" s="300">
        <v>205588.5</v>
      </c>
      <c r="P29" s="300">
        <v>217084.2</v>
      </c>
      <c r="Q29" s="300">
        <v>227971.3</v>
      </c>
      <c r="R29" s="300">
        <v>236386</v>
      </c>
      <c r="S29" s="300">
        <v>244331.3</v>
      </c>
      <c r="T29" s="300">
        <v>254045.8</v>
      </c>
      <c r="U29" s="300">
        <v>253317.7</v>
      </c>
      <c r="V29" s="300">
        <v>259816.1</v>
      </c>
      <c r="W29" s="300">
        <v>262067.1</v>
      </c>
      <c r="X29" s="300">
        <v>271535.09999999998</v>
      </c>
      <c r="Y29" s="300">
        <v>280571</v>
      </c>
      <c r="Z29" s="300">
        <v>287507.5</v>
      </c>
      <c r="AA29" s="300">
        <v>296929.3</v>
      </c>
      <c r="AB29" s="300">
        <v>300914.5</v>
      </c>
      <c r="AC29" s="300">
        <v>308002.3</v>
      </c>
      <c r="AD29" s="300">
        <v>318153.5</v>
      </c>
      <c r="AE29" s="300">
        <v>332485.8</v>
      </c>
      <c r="AF29" s="300">
        <v>330249.90000000002</v>
      </c>
      <c r="AG29" s="410">
        <f t="shared" ref="AG29:AK29" si="25">AF29</f>
        <v>330249.90000000002</v>
      </c>
      <c r="AH29" s="410">
        <f t="shared" si="25"/>
        <v>330249.90000000002</v>
      </c>
      <c r="AI29" s="410">
        <f t="shared" si="25"/>
        <v>330249.90000000002</v>
      </c>
      <c r="AJ29" s="410">
        <f t="shared" si="25"/>
        <v>330249.90000000002</v>
      </c>
      <c r="AK29" s="411">
        <f t="shared" si="25"/>
        <v>330249.90000000002</v>
      </c>
    </row>
    <row r="30" spans="1:37">
      <c r="A30" s="384" t="s">
        <v>279</v>
      </c>
      <c r="B30" s="299">
        <v>13241.9</v>
      </c>
      <c r="C30" s="300">
        <v>13875.2</v>
      </c>
      <c r="D30" s="300">
        <v>14936.9</v>
      </c>
      <c r="E30" s="300">
        <v>16054.4</v>
      </c>
      <c r="F30" s="300">
        <v>17062.099999999999</v>
      </c>
      <c r="G30" s="300">
        <v>17519.3</v>
      </c>
      <c r="H30" s="300">
        <v>18118.7</v>
      </c>
      <c r="I30" s="300">
        <v>19290.400000000001</v>
      </c>
      <c r="J30" s="300">
        <v>20429.099999999999</v>
      </c>
      <c r="K30" s="300">
        <v>20812.2</v>
      </c>
      <c r="L30" s="300">
        <v>21876.7</v>
      </c>
      <c r="M30" s="300">
        <v>22847.599999999999</v>
      </c>
      <c r="N30" s="300">
        <v>23942.1</v>
      </c>
      <c r="O30" s="300">
        <v>25714.9</v>
      </c>
      <c r="P30" s="300">
        <v>28160.5</v>
      </c>
      <c r="Q30" s="300">
        <v>30875.8</v>
      </c>
      <c r="R30" s="300">
        <v>33166.1</v>
      </c>
      <c r="S30" s="300">
        <v>36233.199999999997</v>
      </c>
      <c r="T30" s="300">
        <v>37224.9</v>
      </c>
      <c r="U30" s="300">
        <v>36187.800000000003</v>
      </c>
      <c r="V30" s="300">
        <v>38336.1</v>
      </c>
      <c r="W30" s="300">
        <v>40995.1</v>
      </c>
      <c r="X30" s="300">
        <v>42340.9</v>
      </c>
      <c r="Y30" s="300">
        <v>43687.9</v>
      </c>
      <c r="Z30" s="300">
        <v>45177.2</v>
      </c>
      <c r="AA30" s="300">
        <v>46604.1</v>
      </c>
      <c r="AB30" s="300">
        <v>45490.9</v>
      </c>
      <c r="AC30" s="300">
        <v>48533.9</v>
      </c>
      <c r="AD30" s="300">
        <v>50916.9</v>
      </c>
      <c r="AE30" s="300">
        <v>51925.4</v>
      </c>
      <c r="AF30" s="300">
        <v>52355.8</v>
      </c>
      <c r="AG30" s="410">
        <f t="shared" ref="AG30:AK30" si="26">AF30</f>
        <v>52355.8</v>
      </c>
      <c r="AH30" s="410">
        <f t="shared" si="26"/>
        <v>52355.8</v>
      </c>
      <c r="AI30" s="410">
        <f t="shared" si="26"/>
        <v>52355.8</v>
      </c>
      <c r="AJ30" s="410">
        <f t="shared" si="26"/>
        <v>52355.8</v>
      </c>
      <c r="AK30" s="411">
        <f t="shared" si="26"/>
        <v>52355.8</v>
      </c>
    </row>
    <row r="31" spans="1:37">
      <c r="A31" s="384" t="s">
        <v>280</v>
      </c>
      <c r="B31" s="299">
        <v>33734.300000000003</v>
      </c>
      <c r="C31" s="300">
        <v>35613.300000000003</v>
      </c>
      <c r="D31" s="300">
        <v>38213.599999999999</v>
      </c>
      <c r="E31" s="300">
        <v>39353.4</v>
      </c>
      <c r="F31" s="300">
        <v>43504.3</v>
      </c>
      <c r="G31" s="300">
        <v>45111.3</v>
      </c>
      <c r="H31" s="300">
        <v>49006.9</v>
      </c>
      <c r="I31" s="300">
        <v>49819.199999999997</v>
      </c>
      <c r="J31" s="300">
        <v>51822.1</v>
      </c>
      <c r="K31" s="300">
        <v>53685.2</v>
      </c>
      <c r="L31" s="300">
        <v>56527.5</v>
      </c>
      <c r="M31" s="300">
        <v>59607.199999999997</v>
      </c>
      <c r="N31" s="300">
        <v>61417.3</v>
      </c>
      <c r="O31" s="300">
        <v>66402.100000000006</v>
      </c>
      <c r="P31" s="300">
        <v>70469.2</v>
      </c>
      <c r="Q31" s="300">
        <v>74564.5</v>
      </c>
      <c r="R31" s="300">
        <v>78813.8</v>
      </c>
      <c r="S31" s="300">
        <v>83834.8</v>
      </c>
      <c r="T31" s="300">
        <v>85628</v>
      </c>
      <c r="U31" s="300">
        <v>86870.399999999994</v>
      </c>
      <c r="V31" s="300">
        <v>91561.5</v>
      </c>
      <c r="W31" s="300">
        <v>99921.1</v>
      </c>
      <c r="X31" s="300">
        <v>102725.9</v>
      </c>
      <c r="Y31" s="300">
        <v>107260.7</v>
      </c>
      <c r="Z31" s="300">
        <v>111945.9</v>
      </c>
      <c r="AA31" s="300">
        <v>116514.6</v>
      </c>
      <c r="AB31" s="300">
        <v>118145.9</v>
      </c>
      <c r="AC31" s="300">
        <v>121726.6</v>
      </c>
      <c r="AD31" s="300">
        <v>127015.5</v>
      </c>
      <c r="AE31" s="300">
        <v>131866.9</v>
      </c>
      <c r="AF31" s="300">
        <v>134580.79999999999</v>
      </c>
      <c r="AG31" s="410">
        <f t="shared" ref="AG31:AK31" si="27">AF31</f>
        <v>134580.79999999999</v>
      </c>
      <c r="AH31" s="410">
        <f t="shared" si="27"/>
        <v>134580.79999999999</v>
      </c>
      <c r="AI31" s="410">
        <f t="shared" si="27"/>
        <v>134580.79999999999</v>
      </c>
      <c r="AJ31" s="410">
        <f t="shared" si="27"/>
        <v>134580.79999999999</v>
      </c>
      <c r="AK31" s="411">
        <f t="shared" si="27"/>
        <v>134580.79999999999</v>
      </c>
    </row>
    <row r="32" spans="1:37">
      <c r="A32" s="384" t="s">
        <v>281</v>
      </c>
      <c r="B32" s="299">
        <v>30980</v>
      </c>
      <c r="C32" s="300">
        <v>32785.599999999999</v>
      </c>
      <c r="D32" s="300">
        <v>36051.599999999999</v>
      </c>
      <c r="E32" s="300">
        <v>40039.1</v>
      </c>
      <c r="F32" s="300">
        <v>45172.800000000003</v>
      </c>
      <c r="G32" s="300">
        <v>49249.3</v>
      </c>
      <c r="H32" s="300">
        <v>54418.6</v>
      </c>
      <c r="I32" s="300">
        <v>60259.1</v>
      </c>
      <c r="J32" s="300">
        <v>65114.2</v>
      </c>
      <c r="K32" s="300">
        <v>71595.899999999994</v>
      </c>
      <c r="L32" s="300">
        <v>76833.100000000006</v>
      </c>
      <c r="M32" s="300">
        <v>80429.2</v>
      </c>
      <c r="N32" s="300">
        <v>85008.7</v>
      </c>
      <c r="O32" s="300">
        <v>90633.600000000006</v>
      </c>
      <c r="P32" s="300">
        <v>103231</v>
      </c>
      <c r="Q32" s="300">
        <v>116166.2</v>
      </c>
      <c r="R32" s="300">
        <v>125848.3</v>
      </c>
      <c r="S32" s="300">
        <v>131620.9</v>
      </c>
      <c r="T32" s="300">
        <v>130609.5</v>
      </c>
      <c r="U32" s="300">
        <v>122127.1</v>
      </c>
      <c r="V32" s="300">
        <v>124669.4</v>
      </c>
      <c r="W32" s="300">
        <v>127677.9</v>
      </c>
      <c r="X32" s="300">
        <v>129312.9</v>
      </c>
      <c r="Y32" s="300">
        <v>132086.39999999999</v>
      </c>
      <c r="Z32" s="300">
        <v>136008.70000000001</v>
      </c>
      <c r="AA32" s="300">
        <v>145115.9</v>
      </c>
      <c r="AB32" s="300">
        <v>151840.4</v>
      </c>
      <c r="AC32" s="300">
        <v>160653.1</v>
      </c>
      <c r="AD32" s="300">
        <v>170257.6</v>
      </c>
      <c r="AE32" s="300">
        <v>182186.3</v>
      </c>
      <c r="AF32" s="300">
        <v>172562.6</v>
      </c>
      <c r="AG32" s="410">
        <f t="shared" ref="AG32:AK32" si="28">AF32</f>
        <v>172562.6</v>
      </c>
      <c r="AH32" s="410">
        <f t="shared" si="28"/>
        <v>172562.6</v>
      </c>
      <c r="AI32" s="410">
        <f t="shared" si="28"/>
        <v>172562.6</v>
      </c>
      <c r="AJ32" s="410">
        <f t="shared" si="28"/>
        <v>172562.6</v>
      </c>
      <c r="AK32" s="411">
        <f t="shared" si="28"/>
        <v>172562.6</v>
      </c>
    </row>
    <row r="33" spans="1:37">
      <c r="A33" s="384" t="s">
        <v>282</v>
      </c>
      <c r="B33" s="299">
        <v>23767.8</v>
      </c>
      <c r="C33" s="300">
        <v>24762.6</v>
      </c>
      <c r="D33" s="300">
        <v>26331.8</v>
      </c>
      <c r="E33" s="300">
        <v>27362.1</v>
      </c>
      <c r="F33" s="300">
        <v>29190.1</v>
      </c>
      <c r="G33" s="300">
        <v>31875.5</v>
      </c>
      <c r="H33" s="300">
        <v>34560.6</v>
      </c>
      <c r="I33" s="300">
        <v>38206.6</v>
      </c>
      <c r="J33" s="300">
        <v>40554</v>
      </c>
      <c r="K33" s="300">
        <v>41955.199999999997</v>
      </c>
      <c r="L33" s="300">
        <v>45342</v>
      </c>
      <c r="M33" s="300">
        <v>46817.5</v>
      </c>
      <c r="N33" s="300">
        <v>49059.9</v>
      </c>
      <c r="O33" s="300">
        <v>51637.599999999999</v>
      </c>
      <c r="P33" s="300">
        <v>54918.2</v>
      </c>
      <c r="Q33" s="300">
        <v>56952.6</v>
      </c>
      <c r="R33" s="300">
        <v>60017</v>
      </c>
      <c r="S33" s="300">
        <v>61782.1</v>
      </c>
      <c r="T33" s="300">
        <v>61700.2</v>
      </c>
      <c r="U33" s="300">
        <v>62522.9</v>
      </c>
      <c r="V33" s="300">
        <v>64843.6</v>
      </c>
      <c r="W33" s="300">
        <v>66153.2</v>
      </c>
      <c r="X33" s="300">
        <v>68498.100000000006</v>
      </c>
      <c r="Y33" s="300">
        <v>70476.2</v>
      </c>
      <c r="Z33" s="300">
        <v>72995.199999999997</v>
      </c>
      <c r="AA33" s="300">
        <v>76478</v>
      </c>
      <c r="AB33" s="300">
        <v>79090.100000000006</v>
      </c>
      <c r="AC33" s="300">
        <v>80598</v>
      </c>
      <c r="AD33" s="300">
        <v>83869.8</v>
      </c>
      <c r="AE33" s="300">
        <v>87338.2</v>
      </c>
      <c r="AF33" s="300">
        <v>88337.7</v>
      </c>
      <c r="AG33" s="410">
        <f t="shared" ref="AG33:AK33" si="29">AF33</f>
        <v>88337.7</v>
      </c>
      <c r="AH33" s="410">
        <f t="shared" si="29"/>
        <v>88337.7</v>
      </c>
      <c r="AI33" s="410">
        <f t="shared" si="29"/>
        <v>88337.7</v>
      </c>
      <c r="AJ33" s="410">
        <f t="shared" si="29"/>
        <v>88337.7</v>
      </c>
      <c r="AK33" s="411">
        <f t="shared" si="29"/>
        <v>88337.7</v>
      </c>
    </row>
    <row r="34" spans="1:37">
      <c r="A34" s="384" t="s">
        <v>283</v>
      </c>
      <c r="B34" s="299">
        <v>214357</v>
      </c>
      <c r="C34" s="300">
        <v>221915</v>
      </c>
      <c r="D34" s="300">
        <v>230774.5</v>
      </c>
      <c r="E34" s="300">
        <v>240389.4</v>
      </c>
      <c r="F34" s="300">
        <v>251572.6</v>
      </c>
      <c r="G34" s="300">
        <v>263468</v>
      </c>
      <c r="H34" s="300">
        <v>278191.09999999998</v>
      </c>
      <c r="I34" s="300">
        <v>307817.09999999998</v>
      </c>
      <c r="J34" s="300">
        <v>319861.3</v>
      </c>
      <c r="K34" s="300">
        <v>336064.9</v>
      </c>
      <c r="L34" s="300">
        <v>361005.4</v>
      </c>
      <c r="M34" s="300">
        <v>373698</v>
      </c>
      <c r="N34" s="300">
        <v>386132.5</v>
      </c>
      <c r="O34" s="300">
        <v>400984.7</v>
      </c>
      <c r="P34" s="300">
        <v>414848.6</v>
      </c>
      <c r="Q34" s="300">
        <v>435736.7</v>
      </c>
      <c r="R34" s="300">
        <v>457593.1</v>
      </c>
      <c r="S34" s="300">
        <v>474867.9</v>
      </c>
      <c r="T34" s="300">
        <v>496227.2</v>
      </c>
      <c r="U34" s="300">
        <v>482458.9</v>
      </c>
      <c r="V34" s="300">
        <v>492762.4</v>
      </c>
      <c r="W34" s="300">
        <v>495965.8</v>
      </c>
      <c r="X34" s="300">
        <v>517195.9</v>
      </c>
      <c r="Y34" s="300">
        <v>534177.80000000005</v>
      </c>
      <c r="Z34" s="300">
        <v>542842.80000000005</v>
      </c>
      <c r="AA34" s="300">
        <v>563233.80000000005</v>
      </c>
      <c r="AB34" s="300">
        <v>575501</v>
      </c>
      <c r="AC34" s="300">
        <v>587421</v>
      </c>
      <c r="AD34" s="300">
        <v>614106.5</v>
      </c>
      <c r="AE34" s="300">
        <v>637630.4</v>
      </c>
      <c r="AF34" s="300">
        <v>620085.9</v>
      </c>
      <c r="AG34" s="410">
        <f t="shared" ref="AG34:AK34" si="30">AF34</f>
        <v>620085.9</v>
      </c>
      <c r="AH34" s="410">
        <f t="shared" si="30"/>
        <v>620085.9</v>
      </c>
      <c r="AI34" s="410">
        <f t="shared" si="30"/>
        <v>620085.9</v>
      </c>
      <c r="AJ34" s="410">
        <f t="shared" si="30"/>
        <v>620085.9</v>
      </c>
      <c r="AK34" s="411">
        <f t="shared" si="30"/>
        <v>620085.9</v>
      </c>
    </row>
    <row r="35" spans="1:37">
      <c r="A35" s="384" t="s">
        <v>284</v>
      </c>
      <c r="B35" s="299">
        <v>26600.3</v>
      </c>
      <c r="C35" s="300">
        <v>30295.3</v>
      </c>
      <c r="D35" s="300">
        <v>32638.400000000001</v>
      </c>
      <c r="E35" s="300">
        <v>36876.1</v>
      </c>
      <c r="F35" s="300">
        <v>41684.5</v>
      </c>
      <c r="G35" s="300">
        <v>42145.9</v>
      </c>
      <c r="H35" s="300">
        <v>44532.1</v>
      </c>
      <c r="I35" s="300">
        <v>52475.6</v>
      </c>
      <c r="J35" s="300">
        <v>50658.7</v>
      </c>
      <c r="K35" s="300">
        <v>53017.3</v>
      </c>
      <c r="L35" s="300">
        <v>55105</v>
      </c>
      <c r="M35" s="300">
        <v>55789.7</v>
      </c>
      <c r="N35" s="300">
        <v>57808.3</v>
      </c>
      <c r="O35" s="300">
        <v>62651.1</v>
      </c>
      <c r="P35" s="300">
        <v>69956.600000000006</v>
      </c>
      <c r="Q35" s="300">
        <v>73911.399999999994</v>
      </c>
      <c r="R35" s="300">
        <v>77610.399999999994</v>
      </c>
      <c r="S35" s="300">
        <v>80799.8</v>
      </c>
      <c r="T35" s="300">
        <v>84688.4</v>
      </c>
      <c r="U35" s="300">
        <v>82461.5</v>
      </c>
      <c r="V35" s="300">
        <v>84611.5</v>
      </c>
      <c r="W35" s="300">
        <v>87062.8</v>
      </c>
      <c r="X35" s="300">
        <v>87925.2</v>
      </c>
      <c r="Y35" s="300">
        <v>88756.9</v>
      </c>
      <c r="Z35" s="300">
        <v>92185.7</v>
      </c>
      <c r="AA35" s="300">
        <v>90274.3</v>
      </c>
      <c r="AB35" s="300">
        <v>89769.4</v>
      </c>
      <c r="AC35" s="300">
        <v>92273.600000000006</v>
      </c>
      <c r="AD35" s="300">
        <v>97268</v>
      </c>
      <c r="AE35" s="300">
        <v>102027.5</v>
      </c>
      <c r="AF35" s="300">
        <v>98790</v>
      </c>
      <c r="AG35" s="410">
        <f t="shared" ref="AG35:AK35" si="31">AF35</f>
        <v>98790</v>
      </c>
      <c r="AH35" s="410">
        <f t="shared" si="31"/>
        <v>98790</v>
      </c>
      <c r="AI35" s="410">
        <f t="shared" si="31"/>
        <v>98790</v>
      </c>
      <c r="AJ35" s="410">
        <f t="shared" si="31"/>
        <v>98790</v>
      </c>
      <c r="AK35" s="411">
        <f t="shared" si="31"/>
        <v>98790</v>
      </c>
    </row>
    <row r="36" spans="1:37">
      <c r="A36" s="384" t="s">
        <v>285</v>
      </c>
      <c r="B36" s="299">
        <v>493191.9</v>
      </c>
      <c r="C36" s="300">
        <v>497336</v>
      </c>
      <c r="D36" s="300">
        <v>519703.9</v>
      </c>
      <c r="E36" s="300">
        <v>537504.19999999995</v>
      </c>
      <c r="F36" s="300">
        <v>555321.80000000005</v>
      </c>
      <c r="G36" s="300">
        <v>582656.30000000005</v>
      </c>
      <c r="H36" s="300">
        <v>620153.4</v>
      </c>
      <c r="I36" s="300">
        <v>718814.3</v>
      </c>
      <c r="J36" s="300">
        <v>745502.4</v>
      </c>
      <c r="K36" s="300">
        <v>795230</v>
      </c>
      <c r="L36" s="300">
        <v>841181.3</v>
      </c>
      <c r="M36" s="300">
        <v>878346.5</v>
      </c>
      <c r="N36" s="300">
        <v>890258.1</v>
      </c>
      <c r="O36" s="300">
        <v>912474.6</v>
      </c>
      <c r="P36" s="300">
        <v>967151.9</v>
      </c>
      <c r="Q36" s="300">
        <v>1016037.5</v>
      </c>
      <c r="R36" s="300">
        <v>1075154.6000000001</v>
      </c>
      <c r="S36" s="300">
        <v>1119381.5</v>
      </c>
      <c r="T36" s="300">
        <v>1116591</v>
      </c>
      <c r="U36" s="300">
        <v>1160081.3</v>
      </c>
      <c r="V36" s="300">
        <v>1223529.7</v>
      </c>
      <c r="W36" s="300">
        <v>1247605.8</v>
      </c>
      <c r="X36" s="300">
        <v>1328233.5</v>
      </c>
      <c r="Y36" s="300">
        <v>1365529</v>
      </c>
      <c r="Z36" s="300">
        <v>1430923.3</v>
      </c>
      <c r="AA36" s="300">
        <v>1487627.6</v>
      </c>
      <c r="AB36" s="300">
        <v>1551354.1</v>
      </c>
      <c r="AC36" s="300">
        <v>1604649.9</v>
      </c>
      <c r="AD36" s="300">
        <v>1697661.4</v>
      </c>
      <c r="AE36" s="300">
        <v>1787666</v>
      </c>
      <c r="AF36" s="300">
        <v>1740804.7</v>
      </c>
      <c r="AG36" s="410">
        <f t="shared" ref="AG36:AK36" si="32">AF36</f>
        <v>1740804.7</v>
      </c>
      <c r="AH36" s="410">
        <f t="shared" si="32"/>
        <v>1740804.7</v>
      </c>
      <c r="AI36" s="410">
        <f t="shared" si="32"/>
        <v>1740804.7</v>
      </c>
      <c r="AJ36" s="410">
        <f t="shared" si="32"/>
        <v>1740804.7</v>
      </c>
      <c r="AK36" s="411">
        <f t="shared" si="32"/>
        <v>1740804.7</v>
      </c>
    </row>
    <row r="37" spans="1:37">
      <c r="A37" s="384" t="s">
        <v>286</v>
      </c>
      <c r="B37" s="299">
        <v>139658.4</v>
      </c>
      <c r="C37" s="300">
        <v>146367.5</v>
      </c>
      <c r="D37" s="300">
        <v>159337</v>
      </c>
      <c r="E37" s="300">
        <v>168005.7</v>
      </c>
      <c r="F37" s="300">
        <v>181287.8</v>
      </c>
      <c r="G37" s="300">
        <v>193466.7</v>
      </c>
      <c r="H37" s="300">
        <v>203815</v>
      </c>
      <c r="I37" s="300">
        <v>233934.9</v>
      </c>
      <c r="J37" s="300">
        <v>246890.4</v>
      </c>
      <c r="K37" s="300">
        <v>265375.7</v>
      </c>
      <c r="L37" s="300">
        <v>278008.5</v>
      </c>
      <c r="M37" s="300">
        <v>288069.5</v>
      </c>
      <c r="N37" s="300">
        <v>297846.40000000002</v>
      </c>
      <c r="O37" s="300">
        <v>310388.90000000002</v>
      </c>
      <c r="P37" s="300">
        <v>329878.90000000002</v>
      </c>
      <c r="Q37" s="300">
        <v>355469.7</v>
      </c>
      <c r="R37" s="300">
        <v>387525</v>
      </c>
      <c r="S37" s="300">
        <v>401490.9</v>
      </c>
      <c r="T37" s="300">
        <v>418793.4</v>
      </c>
      <c r="U37" s="300">
        <v>411155.8</v>
      </c>
      <c r="V37" s="300">
        <v>420027.6</v>
      </c>
      <c r="W37" s="300">
        <v>431722.7</v>
      </c>
      <c r="X37" s="300">
        <v>445095.3</v>
      </c>
      <c r="Y37" s="300">
        <v>462268.9</v>
      </c>
      <c r="Z37" s="300">
        <v>483191.3</v>
      </c>
      <c r="AA37" s="300">
        <v>508928.7</v>
      </c>
      <c r="AB37" s="300">
        <v>526029.80000000005</v>
      </c>
      <c r="AC37" s="300">
        <v>548522.1</v>
      </c>
      <c r="AD37" s="300">
        <v>567836.19999999995</v>
      </c>
      <c r="AE37" s="300">
        <v>594521</v>
      </c>
      <c r="AF37" s="300">
        <v>598915.9</v>
      </c>
      <c r="AG37" s="410">
        <f t="shared" ref="AG37:AK37" si="33">AF37</f>
        <v>598915.9</v>
      </c>
      <c r="AH37" s="410">
        <f t="shared" si="33"/>
        <v>598915.9</v>
      </c>
      <c r="AI37" s="410">
        <f t="shared" si="33"/>
        <v>598915.9</v>
      </c>
      <c r="AJ37" s="410">
        <f t="shared" si="33"/>
        <v>598915.9</v>
      </c>
      <c r="AK37" s="411">
        <f t="shared" si="33"/>
        <v>598915.9</v>
      </c>
    </row>
    <row r="38" spans="1:37">
      <c r="A38" s="384" t="s">
        <v>287</v>
      </c>
      <c r="B38" s="299">
        <v>11509.1</v>
      </c>
      <c r="C38" s="300">
        <v>11691.3</v>
      </c>
      <c r="D38" s="300">
        <v>12896.2</v>
      </c>
      <c r="E38" s="300">
        <v>13049.3</v>
      </c>
      <c r="F38" s="300">
        <v>14303.8</v>
      </c>
      <c r="G38" s="300">
        <v>14841.9</v>
      </c>
      <c r="H38" s="300">
        <v>16491</v>
      </c>
      <c r="I38" s="300">
        <v>15760.8</v>
      </c>
      <c r="J38" s="300">
        <v>16816.599999999999</v>
      </c>
      <c r="K38" s="300">
        <v>17067.2</v>
      </c>
      <c r="L38" s="300">
        <v>18100.099999999999</v>
      </c>
      <c r="M38" s="300">
        <v>18889.099999999999</v>
      </c>
      <c r="N38" s="300">
        <v>20194.7</v>
      </c>
      <c r="O38" s="300">
        <v>22061.1</v>
      </c>
      <c r="P38" s="300">
        <v>23259</v>
      </c>
      <c r="Q38" s="300">
        <v>24700</v>
      </c>
      <c r="R38" s="300">
        <v>26500.7</v>
      </c>
      <c r="S38" s="300">
        <v>29075.4</v>
      </c>
      <c r="T38" s="300">
        <v>31874.400000000001</v>
      </c>
      <c r="U38" s="300">
        <v>32226</v>
      </c>
      <c r="V38" s="300">
        <v>35676.199999999997</v>
      </c>
      <c r="W38" s="300">
        <v>41587.699999999997</v>
      </c>
      <c r="X38" s="300">
        <v>51832.6</v>
      </c>
      <c r="Y38" s="300">
        <v>54271</v>
      </c>
      <c r="Z38" s="300">
        <v>59926.3</v>
      </c>
      <c r="AA38" s="300">
        <v>55996.9</v>
      </c>
      <c r="AB38" s="300">
        <v>51989.2</v>
      </c>
      <c r="AC38" s="300">
        <v>55394.7</v>
      </c>
      <c r="AD38" s="300">
        <v>59248.7</v>
      </c>
      <c r="AE38" s="300">
        <v>59199.199999999997</v>
      </c>
      <c r="AF38" s="300">
        <v>54422.9</v>
      </c>
      <c r="AG38" s="410">
        <f t="shared" ref="AG38:AK38" si="34">AF38</f>
        <v>54422.9</v>
      </c>
      <c r="AH38" s="410">
        <f t="shared" si="34"/>
        <v>54422.9</v>
      </c>
      <c r="AI38" s="410">
        <f t="shared" si="34"/>
        <v>54422.9</v>
      </c>
      <c r="AJ38" s="410">
        <f t="shared" si="34"/>
        <v>54422.9</v>
      </c>
      <c r="AK38" s="411">
        <f t="shared" si="34"/>
        <v>54422.9</v>
      </c>
    </row>
    <row r="39" spans="1:37">
      <c r="A39" s="384" t="s">
        <v>288</v>
      </c>
      <c r="B39" s="299">
        <v>227412.9</v>
      </c>
      <c r="C39" s="300">
        <v>233975.4</v>
      </c>
      <c r="D39" s="300">
        <v>250649.60000000001</v>
      </c>
      <c r="E39" s="300">
        <v>259611.6</v>
      </c>
      <c r="F39" s="300">
        <v>281924.7</v>
      </c>
      <c r="G39" s="300">
        <v>297538.2</v>
      </c>
      <c r="H39" s="300">
        <v>311120.09999999998</v>
      </c>
      <c r="I39" s="300">
        <v>343430.3</v>
      </c>
      <c r="J39" s="300">
        <v>361638.1</v>
      </c>
      <c r="K39" s="300">
        <v>376465.2</v>
      </c>
      <c r="L39" s="300">
        <v>392277.2</v>
      </c>
      <c r="M39" s="300">
        <v>396944.5</v>
      </c>
      <c r="N39" s="300">
        <v>411034.5</v>
      </c>
      <c r="O39" s="300">
        <v>423780.2</v>
      </c>
      <c r="P39" s="300">
        <v>446225.3</v>
      </c>
      <c r="Q39" s="300">
        <v>468891.6</v>
      </c>
      <c r="R39" s="300">
        <v>482738.1</v>
      </c>
      <c r="S39" s="300">
        <v>497761.5</v>
      </c>
      <c r="T39" s="300">
        <v>496919.4</v>
      </c>
      <c r="U39" s="300">
        <v>482281.1</v>
      </c>
      <c r="V39" s="300">
        <v>500515.3</v>
      </c>
      <c r="W39" s="300">
        <v>528189.9</v>
      </c>
      <c r="X39" s="300">
        <v>545740.1</v>
      </c>
      <c r="Y39" s="300">
        <v>566532.4</v>
      </c>
      <c r="Z39" s="300">
        <v>595640.9</v>
      </c>
      <c r="AA39" s="300">
        <v>611019.5</v>
      </c>
      <c r="AB39" s="300">
        <v>623265.30000000005</v>
      </c>
      <c r="AC39" s="300">
        <v>645636.80000000005</v>
      </c>
      <c r="AD39" s="300">
        <v>667115.6</v>
      </c>
      <c r="AE39" s="300">
        <v>697166.8</v>
      </c>
      <c r="AF39" s="300">
        <v>684382.5</v>
      </c>
      <c r="AG39" s="410">
        <f t="shared" ref="AG39:AK39" si="35">AF39</f>
        <v>684382.5</v>
      </c>
      <c r="AH39" s="410">
        <f t="shared" si="35"/>
        <v>684382.5</v>
      </c>
      <c r="AI39" s="410">
        <f t="shared" si="35"/>
        <v>684382.5</v>
      </c>
      <c r="AJ39" s="410">
        <f t="shared" si="35"/>
        <v>684382.5</v>
      </c>
      <c r="AK39" s="411">
        <f t="shared" si="35"/>
        <v>684382.5</v>
      </c>
    </row>
    <row r="40" spans="1:37">
      <c r="A40" s="384" t="s">
        <v>289</v>
      </c>
      <c r="B40" s="299">
        <v>57804.800000000003</v>
      </c>
      <c r="C40" s="300">
        <v>59632.1</v>
      </c>
      <c r="D40" s="300">
        <v>62208.5</v>
      </c>
      <c r="E40" s="300">
        <v>65552.100000000006</v>
      </c>
      <c r="F40" s="300">
        <v>68250.7</v>
      </c>
      <c r="G40" s="300">
        <v>70859.399999999994</v>
      </c>
      <c r="H40" s="300">
        <v>76316.3</v>
      </c>
      <c r="I40" s="300">
        <v>79044.399999999994</v>
      </c>
      <c r="J40" s="300">
        <v>81196.899999999994</v>
      </c>
      <c r="K40" s="300">
        <v>84223.9</v>
      </c>
      <c r="L40" s="300">
        <v>91093.9</v>
      </c>
      <c r="M40" s="300">
        <v>97059.6</v>
      </c>
      <c r="N40" s="300">
        <v>99479.2</v>
      </c>
      <c r="O40" s="300">
        <v>105713.5</v>
      </c>
      <c r="P40" s="300">
        <v>113873.8</v>
      </c>
      <c r="Q40" s="300">
        <v>125081.60000000001</v>
      </c>
      <c r="R40" s="300">
        <v>137436.5</v>
      </c>
      <c r="S40" s="300">
        <v>145752.1</v>
      </c>
      <c r="T40" s="300">
        <v>160763.70000000001</v>
      </c>
      <c r="U40" s="300">
        <v>146633</v>
      </c>
      <c r="V40" s="300">
        <v>154287.4</v>
      </c>
      <c r="W40" s="300">
        <v>166235.79999999999</v>
      </c>
      <c r="X40" s="300">
        <v>174874.4</v>
      </c>
      <c r="Y40" s="300">
        <v>182694.7</v>
      </c>
      <c r="Z40" s="300">
        <v>196631.6</v>
      </c>
      <c r="AA40" s="300">
        <v>186815.6</v>
      </c>
      <c r="AB40" s="300">
        <v>181244.4</v>
      </c>
      <c r="AC40" s="300">
        <v>190553</v>
      </c>
      <c r="AD40" s="300">
        <v>202712.5</v>
      </c>
      <c r="AE40" s="300">
        <v>204192.5</v>
      </c>
      <c r="AF40" s="300">
        <v>190063.6</v>
      </c>
      <c r="AG40" s="410">
        <f t="shared" ref="AG40:AK40" si="36">AF40</f>
        <v>190063.6</v>
      </c>
      <c r="AH40" s="410">
        <f t="shared" si="36"/>
        <v>190063.6</v>
      </c>
      <c r="AI40" s="410">
        <f t="shared" si="36"/>
        <v>190063.6</v>
      </c>
      <c r="AJ40" s="410">
        <f t="shared" si="36"/>
        <v>190063.6</v>
      </c>
      <c r="AK40" s="411">
        <f t="shared" si="36"/>
        <v>190063.6</v>
      </c>
    </row>
    <row r="41" spans="1:37">
      <c r="A41" s="384" t="s">
        <v>290</v>
      </c>
      <c r="B41" s="299">
        <v>56565.599999999999</v>
      </c>
      <c r="C41" s="300">
        <v>59441</v>
      </c>
      <c r="D41" s="300">
        <v>63392.3</v>
      </c>
      <c r="E41" s="300">
        <v>69408.5</v>
      </c>
      <c r="F41" s="300">
        <v>75393.100000000006</v>
      </c>
      <c r="G41" s="300">
        <v>81553.7</v>
      </c>
      <c r="H41" s="300">
        <v>93306.4</v>
      </c>
      <c r="I41" s="300">
        <v>100914.8</v>
      </c>
      <c r="J41" s="300">
        <v>105146.8</v>
      </c>
      <c r="K41" s="300">
        <v>107621.5</v>
      </c>
      <c r="L41" s="300">
        <v>117154.6</v>
      </c>
      <c r="M41" s="300">
        <v>116963.6</v>
      </c>
      <c r="N41" s="300">
        <v>120665.5</v>
      </c>
      <c r="O41" s="300">
        <v>126671.5</v>
      </c>
      <c r="P41" s="300">
        <v>135646.79999999999</v>
      </c>
      <c r="Q41" s="300">
        <v>143507.79999999999</v>
      </c>
      <c r="R41" s="300">
        <v>153593.1</v>
      </c>
      <c r="S41" s="300">
        <v>159585.20000000001</v>
      </c>
      <c r="T41" s="300">
        <v>164925.4</v>
      </c>
      <c r="U41" s="300">
        <v>159607.29999999999</v>
      </c>
      <c r="V41" s="300">
        <v>164137.20000000001</v>
      </c>
      <c r="W41" s="300">
        <v>170630.9</v>
      </c>
      <c r="X41" s="300">
        <v>174611</v>
      </c>
      <c r="Y41" s="300">
        <v>179527.7</v>
      </c>
      <c r="Z41" s="300">
        <v>188120.7</v>
      </c>
      <c r="AA41" s="300">
        <v>200659.6</v>
      </c>
      <c r="AB41" s="300">
        <v>211305.9</v>
      </c>
      <c r="AC41" s="300">
        <v>222601.60000000001</v>
      </c>
      <c r="AD41" s="300">
        <v>237113.7</v>
      </c>
      <c r="AE41" s="300">
        <v>247233.1</v>
      </c>
      <c r="AF41" s="300">
        <v>247966.7</v>
      </c>
      <c r="AG41" s="410">
        <f t="shared" ref="AG41:AK41" si="37">AF41</f>
        <v>247966.7</v>
      </c>
      <c r="AH41" s="410">
        <f t="shared" si="37"/>
        <v>247966.7</v>
      </c>
      <c r="AI41" s="410">
        <f t="shared" si="37"/>
        <v>247966.7</v>
      </c>
      <c r="AJ41" s="410">
        <f t="shared" si="37"/>
        <v>247966.7</v>
      </c>
      <c r="AK41" s="411">
        <f t="shared" si="37"/>
        <v>247966.7</v>
      </c>
    </row>
    <row r="42" spans="1:37">
      <c r="A42" s="384" t="s">
        <v>291</v>
      </c>
      <c r="B42" s="299">
        <v>245280.8</v>
      </c>
      <c r="C42" s="300">
        <v>255162.7</v>
      </c>
      <c r="D42" s="300">
        <v>269849.2</v>
      </c>
      <c r="E42" s="300">
        <v>281703.7</v>
      </c>
      <c r="F42" s="300">
        <v>296601.59999999998</v>
      </c>
      <c r="G42" s="300">
        <v>312989.40000000002</v>
      </c>
      <c r="H42" s="300">
        <v>325000.7</v>
      </c>
      <c r="I42" s="300">
        <v>356988</v>
      </c>
      <c r="J42" s="300">
        <v>373748.5</v>
      </c>
      <c r="K42" s="300">
        <v>390916.8</v>
      </c>
      <c r="L42" s="300">
        <v>409159.9</v>
      </c>
      <c r="M42" s="300">
        <v>427108.6</v>
      </c>
      <c r="N42" s="300">
        <v>440971.7</v>
      </c>
      <c r="O42" s="300">
        <v>460270.6</v>
      </c>
      <c r="P42" s="300">
        <v>487306.1</v>
      </c>
      <c r="Q42" s="300">
        <v>511731.4</v>
      </c>
      <c r="R42" s="300">
        <v>531274.1</v>
      </c>
      <c r="S42" s="300">
        <v>565831.80000000005</v>
      </c>
      <c r="T42" s="300">
        <v>588024.6</v>
      </c>
      <c r="U42" s="300">
        <v>582144.80000000005</v>
      </c>
      <c r="V42" s="300">
        <v>604736.80000000005</v>
      </c>
      <c r="W42" s="300">
        <v>624819.69999999995</v>
      </c>
      <c r="X42" s="300">
        <v>647925.9</v>
      </c>
      <c r="Y42" s="300">
        <v>668569.1</v>
      </c>
      <c r="Z42" s="300">
        <v>694142.6</v>
      </c>
      <c r="AA42" s="300">
        <v>714202.9</v>
      </c>
      <c r="AB42" s="300">
        <v>726561.9</v>
      </c>
      <c r="AC42" s="300">
        <v>746441</v>
      </c>
      <c r="AD42" s="300">
        <v>773977.4</v>
      </c>
      <c r="AE42" s="300">
        <v>799888.8</v>
      </c>
      <c r="AF42" s="300">
        <v>771613.2</v>
      </c>
      <c r="AG42" s="410">
        <f t="shared" ref="AG42:AK42" si="38">AF42</f>
        <v>771613.2</v>
      </c>
      <c r="AH42" s="410">
        <f t="shared" si="38"/>
        <v>771613.2</v>
      </c>
      <c r="AI42" s="410">
        <f t="shared" si="38"/>
        <v>771613.2</v>
      </c>
      <c r="AJ42" s="410">
        <f t="shared" si="38"/>
        <v>771613.2</v>
      </c>
      <c r="AK42" s="411">
        <f t="shared" si="38"/>
        <v>771613.2</v>
      </c>
    </row>
    <row r="43" spans="1:37">
      <c r="A43" s="384" t="s">
        <v>292</v>
      </c>
      <c r="B43" s="299">
        <v>21663.9</v>
      </c>
      <c r="C43" s="300">
        <v>21737.8</v>
      </c>
      <c r="D43" s="300">
        <v>22665.200000000001</v>
      </c>
      <c r="E43" s="300">
        <v>23566.400000000001</v>
      </c>
      <c r="F43" s="300">
        <v>24353.7</v>
      </c>
      <c r="G43" s="300">
        <v>25549.8</v>
      </c>
      <c r="H43" s="300">
        <v>26453.7</v>
      </c>
      <c r="I43" s="300">
        <v>28928.799999999999</v>
      </c>
      <c r="J43" s="300">
        <v>30818.5</v>
      </c>
      <c r="K43" s="300">
        <v>32267.200000000001</v>
      </c>
      <c r="L43" s="300">
        <v>34466.800000000003</v>
      </c>
      <c r="M43" s="300">
        <v>35862.800000000003</v>
      </c>
      <c r="N43" s="300">
        <v>37809.199999999997</v>
      </c>
      <c r="O43" s="300">
        <v>39638</v>
      </c>
      <c r="P43" s="300">
        <v>42363.9</v>
      </c>
      <c r="Q43" s="300">
        <v>44374.1</v>
      </c>
      <c r="R43" s="300">
        <v>47204.4</v>
      </c>
      <c r="S43" s="300">
        <v>47340.800000000003</v>
      </c>
      <c r="T43" s="300">
        <v>47277.5</v>
      </c>
      <c r="U43" s="300">
        <v>47702.2</v>
      </c>
      <c r="V43" s="300">
        <v>49468.3</v>
      </c>
      <c r="W43" s="300">
        <v>50206.1</v>
      </c>
      <c r="X43" s="300">
        <v>51583</v>
      </c>
      <c r="Y43" s="300">
        <v>53034.1</v>
      </c>
      <c r="Z43" s="300">
        <v>54559.7</v>
      </c>
      <c r="AA43" s="300">
        <v>56390.8</v>
      </c>
      <c r="AB43" s="300">
        <v>57353.5</v>
      </c>
      <c r="AC43" s="300">
        <v>58085</v>
      </c>
      <c r="AD43" s="300">
        <v>59290.8</v>
      </c>
      <c r="AE43" s="300">
        <v>61642.8</v>
      </c>
      <c r="AF43" s="300">
        <v>60770.6</v>
      </c>
      <c r="AG43" s="410">
        <f t="shared" ref="AG43:AK43" si="39">AF43</f>
        <v>60770.6</v>
      </c>
      <c r="AH43" s="410">
        <f t="shared" si="39"/>
        <v>60770.6</v>
      </c>
      <c r="AI43" s="410">
        <f t="shared" si="39"/>
        <v>60770.6</v>
      </c>
      <c r="AJ43" s="410">
        <f t="shared" si="39"/>
        <v>60770.6</v>
      </c>
      <c r="AK43" s="411">
        <f t="shared" si="39"/>
        <v>60770.6</v>
      </c>
    </row>
    <row r="44" spans="1:37">
      <c r="A44" s="384" t="s">
        <v>293</v>
      </c>
      <c r="B44" s="299">
        <v>65156.9</v>
      </c>
      <c r="C44" s="300">
        <v>68000.3</v>
      </c>
      <c r="D44" s="300">
        <v>71848</v>
      </c>
      <c r="E44" s="300">
        <v>76158.3</v>
      </c>
      <c r="F44" s="300">
        <v>82061.5</v>
      </c>
      <c r="G44" s="300">
        <v>87247.7</v>
      </c>
      <c r="H44" s="300">
        <v>90754.8</v>
      </c>
      <c r="I44" s="300">
        <v>97425</v>
      </c>
      <c r="J44" s="300">
        <v>103456.3</v>
      </c>
      <c r="K44" s="300">
        <v>110241.7</v>
      </c>
      <c r="L44" s="300">
        <v>115320.6</v>
      </c>
      <c r="M44" s="300">
        <v>119478.1</v>
      </c>
      <c r="N44" s="300">
        <v>124863.9</v>
      </c>
      <c r="O44" s="300">
        <v>131566.5</v>
      </c>
      <c r="P44" s="300">
        <v>136982</v>
      </c>
      <c r="Q44" s="300">
        <v>145403.6</v>
      </c>
      <c r="R44" s="300">
        <v>153647.70000000001</v>
      </c>
      <c r="S44" s="300">
        <v>162746.29999999999</v>
      </c>
      <c r="T44" s="300">
        <v>163886.20000000001</v>
      </c>
      <c r="U44" s="300">
        <v>161813.5</v>
      </c>
      <c r="V44" s="300">
        <v>165860</v>
      </c>
      <c r="W44" s="300">
        <v>172075.1</v>
      </c>
      <c r="X44" s="300">
        <v>177618.1</v>
      </c>
      <c r="Y44" s="300">
        <v>185009.1</v>
      </c>
      <c r="Z44" s="300">
        <v>194352.7</v>
      </c>
      <c r="AA44" s="300">
        <v>205816.7</v>
      </c>
      <c r="AB44" s="300">
        <v>215120.2</v>
      </c>
      <c r="AC44" s="300">
        <v>223266.7</v>
      </c>
      <c r="AD44" s="300">
        <v>233251.4</v>
      </c>
      <c r="AE44" s="300">
        <v>245987.20000000001</v>
      </c>
      <c r="AF44" s="300">
        <v>245359.5</v>
      </c>
      <c r="AG44" s="410">
        <f t="shared" ref="AG44:AK44" si="40">AF44</f>
        <v>245359.5</v>
      </c>
      <c r="AH44" s="410">
        <f t="shared" si="40"/>
        <v>245359.5</v>
      </c>
      <c r="AI44" s="410">
        <f t="shared" si="40"/>
        <v>245359.5</v>
      </c>
      <c r="AJ44" s="410">
        <f t="shared" si="40"/>
        <v>245359.5</v>
      </c>
      <c r="AK44" s="411">
        <f t="shared" si="40"/>
        <v>245359.5</v>
      </c>
    </row>
    <row r="45" spans="1:37">
      <c r="A45" s="384" t="s">
        <v>294</v>
      </c>
      <c r="B45" s="299">
        <v>12770.3</v>
      </c>
      <c r="C45" s="300">
        <v>13736.1</v>
      </c>
      <c r="D45" s="300">
        <v>14885.5</v>
      </c>
      <c r="E45" s="300">
        <v>16104.5</v>
      </c>
      <c r="F45" s="300">
        <v>17329.599999999999</v>
      </c>
      <c r="G45" s="300">
        <v>18053.8</v>
      </c>
      <c r="H45" s="300">
        <v>19418.7</v>
      </c>
      <c r="I45" s="300">
        <v>19031.400000000001</v>
      </c>
      <c r="J45" s="300">
        <v>20228.099999999999</v>
      </c>
      <c r="K45" s="300">
        <v>21078.7</v>
      </c>
      <c r="L45" s="300">
        <v>22743.3</v>
      </c>
      <c r="M45" s="300">
        <v>23412.1</v>
      </c>
      <c r="N45" s="300">
        <v>26322.1</v>
      </c>
      <c r="O45" s="300">
        <v>27216.1</v>
      </c>
      <c r="P45" s="300">
        <v>29271.3</v>
      </c>
      <c r="Q45" s="300">
        <v>30997.4</v>
      </c>
      <c r="R45" s="300">
        <v>32364.5</v>
      </c>
      <c r="S45" s="300">
        <v>35073</v>
      </c>
      <c r="T45" s="300">
        <v>36603</v>
      </c>
      <c r="U45" s="300">
        <v>36432.9</v>
      </c>
      <c r="V45" s="300">
        <v>37852.5</v>
      </c>
      <c r="W45" s="300">
        <v>41892.1</v>
      </c>
      <c r="X45" s="300">
        <v>43901.5</v>
      </c>
      <c r="Y45" s="300">
        <v>45361</v>
      </c>
      <c r="Z45" s="300">
        <v>46785.4</v>
      </c>
      <c r="AA45" s="300">
        <v>48070.2</v>
      </c>
      <c r="AB45" s="300">
        <v>49151.4</v>
      </c>
      <c r="AC45" s="300">
        <v>50232.5</v>
      </c>
      <c r="AD45" s="300">
        <v>52299.3</v>
      </c>
      <c r="AE45" s="300">
        <v>54001.3</v>
      </c>
      <c r="AF45" s="300">
        <v>55681.2</v>
      </c>
      <c r="AG45" s="410">
        <f t="shared" ref="AG45:AK45" si="41">AF45</f>
        <v>55681.2</v>
      </c>
      <c r="AH45" s="410">
        <f t="shared" si="41"/>
        <v>55681.2</v>
      </c>
      <c r="AI45" s="410">
        <f t="shared" si="41"/>
        <v>55681.2</v>
      </c>
      <c r="AJ45" s="410">
        <f t="shared" si="41"/>
        <v>55681.2</v>
      </c>
      <c r="AK45" s="411">
        <f t="shared" si="41"/>
        <v>55681.2</v>
      </c>
    </row>
    <row r="46" spans="1:37">
      <c r="A46" s="384" t="s">
        <v>295</v>
      </c>
      <c r="B46" s="299">
        <v>94086.7</v>
      </c>
      <c r="C46" s="300">
        <v>101208.4</v>
      </c>
      <c r="D46" s="300">
        <v>111660.4</v>
      </c>
      <c r="E46" s="300">
        <v>119567.6</v>
      </c>
      <c r="F46" s="300">
        <v>129895.2</v>
      </c>
      <c r="G46" s="300">
        <v>137061.20000000001</v>
      </c>
      <c r="H46" s="300">
        <v>143162.6</v>
      </c>
      <c r="I46" s="300">
        <v>154382.1</v>
      </c>
      <c r="J46" s="300">
        <v>167394.6</v>
      </c>
      <c r="K46" s="300">
        <v>176281.9</v>
      </c>
      <c r="L46" s="300">
        <v>182247.2</v>
      </c>
      <c r="M46" s="300">
        <v>186441.3</v>
      </c>
      <c r="N46" s="300">
        <v>195764.3</v>
      </c>
      <c r="O46" s="300">
        <v>205126.39999999999</v>
      </c>
      <c r="P46" s="300">
        <v>219327.9</v>
      </c>
      <c r="Q46" s="300">
        <v>231633.5</v>
      </c>
      <c r="R46" s="300">
        <v>243583.9</v>
      </c>
      <c r="S46" s="300">
        <v>248692.4</v>
      </c>
      <c r="T46" s="300">
        <v>254242</v>
      </c>
      <c r="U46" s="300">
        <v>252332.79999999999</v>
      </c>
      <c r="V46" s="300">
        <v>257776</v>
      </c>
      <c r="W46" s="300">
        <v>269814.2</v>
      </c>
      <c r="X46" s="300">
        <v>286341.5</v>
      </c>
      <c r="Y46" s="300">
        <v>295862.7</v>
      </c>
      <c r="Z46" s="300">
        <v>306153.09999999998</v>
      </c>
      <c r="AA46" s="300">
        <v>325294</v>
      </c>
      <c r="AB46" s="300">
        <v>336413.9</v>
      </c>
      <c r="AC46" s="300">
        <v>350838.7</v>
      </c>
      <c r="AD46" s="300">
        <v>363055.5</v>
      </c>
      <c r="AE46" s="300">
        <v>380128.5</v>
      </c>
      <c r="AF46" s="300">
        <v>379007.1</v>
      </c>
      <c r="AG46" s="410">
        <f t="shared" ref="AG46:AK46" si="42">AF46</f>
        <v>379007.1</v>
      </c>
      <c r="AH46" s="410">
        <f t="shared" si="42"/>
        <v>379007.1</v>
      </c>
      <c r="AI46" s="410">
        <f t="shared" si="42"/>
        <v>379007.1</v>
      </c>
      <c r="AJ46" s="410">
        <f t="shared" si="42"/>
        <v>379007.1</v>
      </c>
      <c r="AK46" s="411">
        <f t="shared" si="42"/>
        <v>379007.1</v>
      </c>
    </row>
    <row r="47" spans="1:37">
      <c r="A47" s="384" t="s">
        <v>296</v>
      </c>
      <c r="B47" s="299">
        <v>378943.1</v>
      </c>
      <c r="C47" s="300">
        <v>393573.9</v>
      </c>
      <c r="D47" s="300">
        <v>416401.3</v>
      </c>
      <c r="E47" s="300">
        <v>443775.4</v>
      </c>
      <c r="F47" s="300">
        <v>475989.7</v>
      </c>
      <c r="G47" s="300">
        <v>507725.3</v>
      </c>
      <c r="H47" s="300">
        <v>551512.5</v>
      </c>
      <c r="I47" s="300">
        <v>610157.30000000005</v>
      </c>
      <c r="J47" s="300">
        <v>645142.6</v>
      </c>
      <c r="K47" s="300">
        <v>679870.3</v>
      </c>
      <c r="L47" s="300">
        <v>738677</v>
      </c>
      <c r="M47" s="300">
        <v>773375.5</v>
      </c>
      <c r="N47" s="300">
        <v>789817.6</v>
      </c>
      <c r="O47" s="300">
        <v>833342.3</v>
      </c>
      <c r="P47" s="300">
        <v>913444.4</v>
      </c>
      <c r="Q47" s="300">
        <v>995252.4</v>
      </c>
      <c r="R47" s="300">
        <v>1103197.6000000001</v>
      </c>
      <c r="S47" s="300">
        <v>1191093.1000000001</v>
      </c>
      <c r="T47" s="300">
        <v>1244294.8999999999</v>
      </c>
      <c r="U47" s="300">
        <v>1169607.7</v>
      </c>
      <c r="V47" s="300">
        <v>1245959.3999999999</v>
      </c>
      <c r="W47" s="300">
        <v>1341334.3999999999</v>
      </c>
      <c r="X47" s="300">
        <v>1421180.1</v>
      </c>
      <c r="Y47" s="300">
        <v>1515195.6</v>
      </c>
      <c r="Z47" s="300">
        <v>1579299.5</v>
      </c>
      <c r="AA47" s="300">
        <v>1573498.4</v>
      </c>
      <c r="AB47" s="300">
        <v>1579014.9</v>
      </c>
      <c r="AC47" s="300">
        <v>1673234.3</v>
      </c>
      <c r="AD47" s="300">
        <v>1809396.7</v>
      </c>
      <c r="AE47" s="300">
        <v>1858757.8</v>
      </c>
      <c r="AF47" s="300">
        <v>1789933.4</v>
      </c>
      <c r="AG47" s="410">
        <f t="shared" ref="AG47:AK47" si="43">AF47</f>
        <v>1789933.4</v>
      </c>
      <c r="AH47" s="410">
        <f t="shared" si="43"/>
        <v>1789933.4</v>
      </c>
      <c r="AI47" s="410">
        <f t="shared" si="43"/>
        <v>1789933.4</v>
      </c>
      <c r="AJ47" s="410">
        <f t="shared" si="43"/>
        <v>1789933.4</v>
      </c>
      <c r="AK47" s="411">
        <f t="shared" si="43"/>
        <v>1789933.4</v>
      </c>
    </row>
    <row r="48" spans="1:37">
      <c r="A48" s="384" t="s">
        <v>297</v>
      </c>
      <c r="B48" s="299">
        <v>31249.3</v>
      </c>
      <c r="C48" s="300">
        <v>33501</v>
      </c>
      <c r="D48" s="300">
        <v>35602.300000000003</v>
      </c>
      <c r="E48" s="300">
        <v>38631.4</v>
      </c>
      <c r="F48" s="300">
        <v>42591.1</v>
      </c>
      <c r="G48" s="300">
        <v>46746.400000000001</v>
      </c>
      <c r="H48" s="300">
        <v>52016</v>
      </c>
      <c r="I48" s="300">
        <v>57684</v>
      </c>
      <c r="J48" s="300">
        <v>62296.1</v>
      </c>
      <c r="K48" s="300">
        <v>66019.3</v>
      </c>
      <c r="L48" s="300">
        <v>70295.899999999994</v>
      </c>
      <c r="M48" s="300">
        <v>73057.600000000006</v>
      </c>
      <c r="N48" s="300">
        <v>75796.899999999994</v>
      </c>
      <c r="O48" s="300">
        <v>78945.399999999994</v>
      </c>
      <c r="P48" s="300">
        <v>86081.9</v>
      </c>
      <c r="Q48" s="300">
        <v>95355.1</v>
      </c>
      <c r="R48" s="300">
        <v>106537.3</v>
      </c>
      <c r="S48" s="300">
        <v>114813.4</v>
      </c>
      <c r="T48" s="300">
        <v>117178.9</v>
      </c>
      <c r="U48" s="300">
        <v>113985.4</v>
      </c>
      <c r="V48" s="300">
        <v>118669.8</v>
      </c>
      <c r="W48" s="300">
        <v>125565</v>
      </c>
      <c r="X48" s="300">
        <v>129512.5</v>
      </c>
      <c r="Y48" s="300">
        <v>135450.4</v>
      </c>
      <c r="Z48" s="300">
        <v>142150.1</v>
      </c>
      <c r="AA48" s="300">
        <v>149153.4</v>
      </c>
      <c r="AB48" s="300">
        <v>157827.29999999999</v>
      </c>
      <c r="AC48" s="300">
        <v>168649.9</v>
      </c>
      <c r="AD48" s="300">
        <v>184457.5</v>
      </c>
      <c r="AE48" s="300">
        <v>196538.9</v>
      </c>
      <c r="AF48" s="300">
        <v>202133.4</v>
      </c>
      <c r="AG48" s="410">
        <f t="shared" ref="AG48:AK48" si="44">AF48</f>
        <v>202133.4</v>
      </c>
      <c r="AH48" s="410">
        <f t="shared" si="44"/>
        <v>202133.4</v>
      </c>
      <c r="AI48" s="410">
        <f t="shared" si="44"/>
        <v>202133.4</v>
      </c>
      <c r="AJ48" s="410">
        <f t="shared" si="44"/>
        <v>202133.4</v>
      </c>
      <c r="AK48" s="411">
        <f t="shared" si="44"/>
        <v>202133.4</v>
      </c>
    </row>
    <row r="49" spans="1:37">
      <c r="A49" s="384" t="s">
        <v>298</v>
      </c>
      <c r="B49" s="299">
        <v>11673.6</v>
      </c>
      <c r="C49" s="300">
        <v>11732.6</v>
      </c>
      <c r="D49" s="300">
        <v>12538.3</v>
      </c>
      <c r="E49" s="300">
        <v>13026.9</v>
      </c>
      <c r="F49" s="300">
        <v>13689.2</v>
      </c>
      <c r="G49" s="300">
        <v>13891.4</v>
      </c>
      <c r="H49" s="300">
        <v>14672.4</v>
      </c>
      <c r="I49" s="300">
        <v>15454.7</v>
      </c>
      <c r="J49" s="300">
        <v>16080.7</v>
      </c>
      <c r="K49" s="300">
        <v>17176.900000000001</v>
      </c>
      <c r="L49" s="300">
        <v>18341.099999999999</v>
      </c>
      <c r="M49" s="300">
        <v>19323.2</v>
      </c>
      <c r="N49" s="300">
        <v>20273</v>
      </c>
      <c r="O49" s="300">
        <v>21293.200000000001</v>
      </c>
      <c r="P49" s="300">
        <v>22938.2</v>
      </c>
      <c r="Q49" s="300">
        <v>23608.6</v>
      </c>
      <c r="R49" s="300">
        <v>24331.5</v>
      </c>
      <c r="S49" s="300">
        <v>24797.7</v>
      </c>
      <c r="T49" s="300">
        <v>25999.3</v>
      </c>
      <c r="U49" s="300">
        <v>26099.200000000001</v>
      </c>
      <c r="V49" s="300">
        <v>27406.6</v>
      </c>
      <c r="W49" s="300">
        <v>28418.7</v>
      </c>
      <c r="X49" s="300">
        <v>29241.3</v>
      </c>
      <c r="Y49" s="300">
        <v>29289.599999999999</v>
      </c>
      <c r="Z49" s="300">
        <v>30099.4</v>
      </c>
      <c r="AA49" s="300">
        <v>30933.3</v>
      </c>
      <c r="AB49" s="300">
        <v>31661.200000000001</v>
      </c>
      <c r="AC49" s="300">
        <v>32266.1</v>
      </c>
      <c r="AD49" s="300">
        <v>33066.800000000003</v>
      </c>
      <c r="AE49" s="300">
        <v>34230.800000000003</v>
      </c>
      <c r="AF49" s="300">
        <v>34018.6</v>
      </c>
      <c r="AG49" s="410">
        <f t="shared" ref="AG49:AK49" si="45">AF49</f>
        <v>34018.6</v>
      </c>
      <c r="AH49" s="410">
        <f t="shared" si="45"/>
        <v>34018.6</v>
      </c>
      <c r="AI49" s="410">
        <f t="shared" si="45"/>
        <v>34018.6</v>
      </c>
      <c r="AJ49" s="410">
        <f t="shared" si="45"/>
        <v>34018.6</v>
      </c>
      <c r="AK49" s="411">
        <f t="shared" si="45"/>
        <v>34018.6</v>
      </c>
    </row>
    <row r="50" spans="1:37">
      <c r="A50" s="384" t="s">
        <v>299</v>
      </c>
      <c r="B50" s="299">
        <v>144970.6</v>
      </c>
      <c r="C50" s="300">
        <v>151092.6</v>
      </c>
      <c r="D50" s="300">
        <v>158990.20000000001</v>
      </c>
      <c r="E50" s="300">
        <v>167688.4</v>
      </c>
      <c r="F50" s="300">
        <v>177057.3</v>
      </c>
      <c r="G50" s="300">
        <v>186235.6</v>
      </c>
      <c r="H50" s="300">
        <v>197756.4</v>
      </c>
      <c r="I50" s="300">
        <v>215101.7</v>
      </c>
      <c r="J50" s="300">
        <v>231384</v>
      </c>
      <c r="K50" s="300">
        <v>249801.1</v>
      </c>
      <c r="L50" s="300">
        <v>268470.90000000002</v>
      </c>
      <c r="M50" s="300">
        <v>285635.90000000002</v>
      </c>
      <c r="N50" s="300">
        <v>295355.7</v>
      </c>
      <c r="O50" s="300">
        <v>311665.7</v>
      </c>
      <c r="P50" s="300">
        <v>332115.09999999998</v>
      </c>
      <c r="Q50" s="300">
        <v>358069.7</v>
      </c>
      <c r="R50" s="300">
        <v>376235.7</v>
      </c>
      <c r="S50" s="300">
        <v>391699.8</v>
      </c>
      <c r="T50" s="300">
        <v>404634.9</v>
      </c>
      <c r="U50" s="300">
        <v>410967.4</v>
      </c>
      <c r="V50" s="300">
        <v>426992.4</v>
      </c>
      <c r="W50" s="300">
        <v>435180.3</v>
      </c>
      <c r="X50" s="300">
        <v>445973.6</v>
      </c>
      <c r="Y50" s="300">
        <v>457640.5</v>
      </c>
      <c r="Z50" s="300">
        <v>465181.8</v>
      </c>
      <c r="AA50" s="300">
        <v>483786.5</v>
      </c>
      <c r="AB50" s="300">
        <v>496021.1</v>
      </c>
      <c r="AC50" s="300">
        <v>511114.9</v>
      </c>
      <c r="AD50" s="300">
        <v>532906.5</v>
      </c>
      <c r="AE50" s="300">
        <v>557764.4</v>
      </c>
      <c r="AF50" s="300">
        <v>556992.6</v>
      </c>
      <c r="AG50" s="410">
        <f t="shared" ref="AG50:AK50" si="46">AF50</f>
        <v>556992.6</v>
      </c>
      <c r="AH50" s="410">
        <f t="shared" si="46"/>
        <v>556992.6</v>
      </c>
      <c r="AI50" s="410">
        <f t="shared" si="46"/>
        <v>556992.6</v>
      </c>
      <c r="AJ50" s="410">
        <f t="shared" si="46"/>
        <v>556992.6</v>
      </c>
      <c r="AK50" s="411">
        <f t="shared" si="46"/>
        <v>556992.6</v>
      </c>
    </row>
    <row r="51" spans="1:37">
      <c r="A51" s="384" t="s">
        <v>300</v>
      </c>
      <c r="B51" s="299">
        <v>118640.2</v>
      </c>
      <c r="C51" s="300">
        <v>125895</v>
      </c>
      <c r="D51" s="300">
        <v>134469</v>
      </c>
      <c r="E51" s="300">
        <v>142499.70000000001</v>
      </c>
      <c r="F51" s="300">
        <v>150805.20000000001</v>
      </c>
      <c r="G51" s="300">
        <v>155068.6</v>
      </c>
      <c r="H51" s="300">
        <v>166539.79999999999</v>
      </c>
      <c r="I51" s="300">
        <v>193825.9</v>
      </c>
      <c r="J51" s="300">
        <v>209741.1</v>
      </c>
      <c r="K51" s="300">
        <v>229797.9</v>
      </c>
      <c r="L51" s="300">
        <v>237378.2</v>
      </c>
      <c r="M51" s="300">
        <v>238418.6</v>
      </c>
      <c r="N51" s="300">
        <v>245978.5</v>
      </c>
      <c r="O51" s="300">
        <v>255370.2</v>
      </c>
      <c r="P51" s="300">
        <v>268378.3</v>
      </c>
      <c r="Q51" s="300">
        <v>293676</v>
      </c>
      <c r="R51" s="300">
        <v>314265.2</v>
      </c>
      <c r="S51" s="300">
        <v>342024.2</v>
      </c>
      <c r="T51" s="300">
        <v>354794.1</v>
      </c>
      <c r="U51" s="300">
        <v>351245</v>
      </c>
      <c r="V51" s="300">
        <v>365497.8</v>
      </c>
      <c r="W51" s="300">
        <v>379574.9</v>
      </c>
      <c r="X51" s="300">
        <v>400530.6</v>
      </c>
      <c r="Y51" s="300">
        <v>419092.4</v>
      </c>
      <c r="Z51" s="300">
        <v>440648</v>
      </c>
      <c r="AA51" s="300">
        <v>466689.7</v>
      </c>
      <c r="AB51" s="300">
        <v>487275.1</v>
      </c>
      <c r="AC51" s="300">
        <v>519409.6</v>
      </c>
      <c r="AD51" s="300">
        <v>564313.9</v>
      </c>
      <c r="AE51" s="300">
        <v>595231.80000000005</v>
      </c>
      <c r="AF51" s="300">
        <v>612969.1</v>
      </c>
      <c r="AG51" s="410">
        <f t="shared" ref="AG51:AK51" si="47">AF51</f>
        <v>612969.1</v>
      </c>
      <c r="AH51" s="410">
        <f t="shared" si="47"/>
        <v>612969.1</v>
      </c>
      <c r="AI51" s="410">
        <f t="shared" si="47"/>
        <v>612969.1</v>
      </c>
      <c r="AJ51" s="410">
        <f t="shared" si="47"/>
        <v>612969.1</v>
      </c>
      <c r="AK51" s="411">
        <f t="shared" si="47"/>
        <v>612969.1</v>
      </c>
    </row>
    <row r="52" spans="1:37">
      <c r="A52" s="384" t="s">
        <v>301</v>
      </c>
      <c r="B52" s="299">
        <v>27754.3</v>
      </c>
      <c r="C52" s="300">
        <v>29092.1</v>
      </c>
      <c r="D52" s="300">
        <v>30410.3</v>
      </c>
      <c r="E52" s="300">
        <v>31881.4</v>
      </c>
      <c r="F52" s="300">
        <v>34592.1</v>
      </c>
      <c r="G52" s="300">
        <v>36148.699999999997</v>
      </c>
      <c r="H52" s="300">
        <v>37224.199999999997</v>
      </c>
      <c r="I52" s="300">
        <v>38777.5</v>
      </c>
      <c r="J52" s="300">
        <v>40014.6</v>
      </c>
      <c r="K52" s="300">
        <v>41714.300000000003</v>
      </c>
      <c r="L52" s="300">
        <v>42495.6</v>
      </c>
      <c r="M52" s="300">
        <v>43973.3</v>
      </c>
      <c r="N52" s="300">
        <v>45580.800000000003</v>
      </c>
      <c r="O52" s="300">
        <v>47039.9</v>
      </c>
      <c r="P52" s="300">
        <v>49741.4</v>
      </c>
      <c r="Q52" s="300">
        <v>53492.5</v>
      </c>
      <c r="R52" s="300">
        <v>57010</v>
      </c>
      <c r="S52" s="300">
        <v>59273.5</v>
      </c>
      <c r="T52" s="300">
        <v>62694.8</v>
      </c>
      <c r="U52" s="300">
        <v>63600.7</v>
      </c>
      <c r="V52" s="300">
        <v>65998.7</v>
      </c>
      <c r="W52" s="300">
        <v>69234.100000000006</v>
      </c>
      <c r="X52" s="300">
        <v>70322.2</v>
      </c>
      <c r="Y52" s="300">
        <v>71481.5</v>
      </c>
      <c r="Z52" s="300">
        <v>72648.2</v>
      </c>
      <c r="AA52" s="300">
        <v>71318.5</v>
      </c>
      <c r="AB52" s="300">
        <v>70924.399999999994</v>
      </c>
      <c r="AC52" s="300">
        <v>74820.100000000006</v>
      </c>
      <c r="AD52" s="300">
        <v>79192.899999999994</v>
      </c>
      <c r="AE52" s="300">
        <v>79325.600000000006</v>
      </c>
      <c r="AF52" s="300">
        <v>76547.899999999994</v>
      </c>
      <c r="AG52" s="410">
        <f t="shared" ref="AG52:AK52" si="48">AF52</f>
        <v>76547.899999999994</v>
      </c>
      <c r="AH52" s="410">
        <f t="shared" si="48"/>
        <v>76547.899999999994</v>
      </c>
      <c r="AI52" s="410">
        <f t="shared" si="48"/>
        <v>76547.899999999994</v>
      </c>
      <c r="AJ52" s="410">
        <f t="shared" si="48"/>
        <v>76547.899999999994</v>
      </c>
      <c r="AK52" s="411">
        <f t="shared" si="48"/>
        <v>76547.899999999994</v>
      </c>
    </row>
    <row r="53" spans="1:37">
      <c r="A53" s="384" t="s">
        <v>302</v>
      </c>
      <c r="B53" s="299">
        <v>100235.8</v>
      </c>
      <c r="C53" s="300">
        <v>104773.9</v>
      </c>
      <c r="D53" s="300">
        <v>112972.1</v>
      </c>
      <c r="E53" s="300">
        <v>120023.9</v>
      </c>
      <c r="F53" s="300">
        <v>129436.7</v>
      </c>
      <c r="G53" s="300">
        <v>135311.29999999999</v>
      </c>
      <c r="H53" s="300">
        <v>143443.79999999999</v>
      </c>
      <c r="I53" s="300">
        <v>153431.70000000001</v>
      </c>
      <c r="J53" s="300">
        <v>162609.29999999999</v>
      </c>
      <c r="K53" s="300">
        <v>172224.1</v>
      </c>
      <c r="L53" s="300">
        <v>180427.3</v>
      </c>
      <c r="M53" s="300">
        <v>188163.1</v>
      </c>
      <c r="N53" s="300">
        <v>194658.8</v>
      </c>
      <c r="O53" s="300">
        <v>203339.2</v>
      </c>
      <c r="P53" s="300">
        <v>215537.1</v>
      </c>
      <c r="Q53" s="300">
        <v>227297</v>
      </c>
      <c r="R53" s="300">
        <v>237569.3</v>
      </c>
      <c r="S53" s="300">
        <v>245839.5</v>
      </c>
      <c r="T53" s="300">
        <v>246814.5</v>
      </c>
      <c r="U53" s="300">
        <v>247210</v>
      </c>
      <c r="V53" s="300">
        <v>256432.9</v>
      </c>
      <c r="W53" s="300">
        <v>266364.40000000002</v>
      </c>
      <c r="X53" s="300">
        <v>277107.09999999998</v>
      </c>
      <c r="Y53" s="300">
        <v>284270.90000000002</v>
      </c>
      <c r="Z53" s="300">
        <v>295696</v>
      </c>
      <c r="AA53" s="300">
        <v>307507.90000000002</v>
      </c>
      <c r="AB53" s="300">
        <v>314073.3</v>
      </c>
      <c r="AC53" s="300">
        <v>318310.40000000002</v>
      </c>
      <c r="AD53" s="300">
        <v>332498.59999999998</v>
      </c>
      <c r="AE53" s="300">
        <v>345236.4</v>
      </c>
      <c r="AF53" s="300">
        <v>340591.1</v>
      </c>
      <c r="AG53" s="410">
        <f t="shared" ref="AG53:AK53" si="49">AF53</f>
        <v>340591.1</v>
      </c>
      <c r="AH53" s="410">
        <f t="shared" si="49"/>
        <v>340591.1</v>
      </c>
      <c r="AI53" s="410">
        <f t="shared" si="49"/>
        <v>340591.1</v>
      </c>
      <c r="AJ53" s="410">
        <f t="shared" si="49"/>
        <v>340591.1</v>
      </c>
      <c r="AK53" s="411">
        <f t="shared" si="49"/>
        <v>340591.1</v>
      </c>
    </row>
    <row r="54" spans="1:37" ht="13" thickBot="1">
      <c r="A54" s="385" t="s">
        <v>303</v>
      </c>
      <c r="B54" s="319">
        <v>12705.5</v>
      </c>
      <c r="C54" s="301">
        <v>12977.4</v>
      </c>
      <c r="D54" s="301">
        <v>13178.7</v>
      </c>
      <c r="E54" s="301">
        <v>13790.6</v>
      </c>
      <c r="F54" s="301">
        <v>14070.4</v>
      </c>
      <c r="G54" s="301">
        <v>14608.1</v>
      </c>
      <c r="H54" s="301">
        <v>15752.2</v>
      </c>
      <c r="I54" s="301">
        <v>14654.5</v>
      </c>
      <c r="J54" s="301">
        <v>14840.2</v>
      </c>
      <c r="K54" s="301">
        <v>15679.7</v>
      </c>
      <c r="L54" s="301">
        <v>17152.5</v>
      </c>
      <c r="M54" s="301">
        <v>18708.3</v>
      </c>
      <c r="N54" s="301">
        <v>19165.599999999999</v>
      </c>
      <c r="O54" s="301">
        <v>21193.599999999999</v>
      </c>
      <c r="P54" s="301">
        <v>23429.4</v>
      </c>
      <c r="Q54" s="301">
        <v>27576.3</v>
      </c>
      <c r="R54" s="301">
        <v>32740.3</v>
      </c>
      <c r="S54" s="301">
        <v>36950.800000000003</v>
      </c>
      <c r="T54" s="301">
        <v>42819.3</v>
      </c>
      <c r="U54" s="301">
        <v>36252</v>
      </c>
      <c r="V54" s="301">
        <v>37680.699999999997</v>
      </c>
      <c r="W54" s="301">
        <v>39751.4</v>
      </c>
      <c r="X54" s="301">
        <v>38855.4</v>
      </c>
      <c r="Y54" s="301">
        <v>39289.800000000003</v>
      </c>
      <c r="Z54" s="301">
        <v>40310.6</v>
      </c>
      <c r="AA54" s="301">
        <v>38426.9</v>
      </c>
      <c r="AB54" s="301">
        <v>35879</v>
      </c>
      <c r="AC54" s="301">
        <v>36980.699999999997</v>
      </c>
      <c r="AD54" s="301">
        <v>39171.699999999997</v>
      </c>
      <c r="AE54" s="301">
        <v>39428</v>
      </c>
      <c r="AF54" s="301">
        <v>36330.400000000001</v>
      </c>
      <c r="AG54" s="420">
        <f t="shared" ref="AG54:AK54" si="50">AF54</f>
        <v>36330.400000000001</v>
      </c>
      <c r="AH54" s="420">
        <f t="shared" si="50"/>
        <v>36330.400000000001</v>
      </c>
      <c r="AI54" s="420">
        <f t="shared" si="50"/>
        <v>36330.400000000001</v>
      </c>
      <c r="AJ54" s="420">
        <f t="shared" si="50"/>
        <v>36330.400000000001</v>
      </c>
      <c r="AK54" s="421">
        <f t="shared" si="50"/>
        <v>36330.400000000001</v>
      </c>
    </row>
    <row r="55" spans="1:37" ht="13" thickBot="1">
      <c r="A55" s="180"/>
      <c r="B55" s="300"/>
      <c r="C55" s="300"/>
      <c r="D55" s="300"/>
      <c r="E55" s="300"/>
      <c r="F55" s="300"/>
      <c r="G55" s="300"/>
      <c r="H55" s="300"/>
      <c r="I55" s="300"/>
      <c r="J55" s="300"/>
      <c r="K55" s="300"/>
      <c r="L55" s="300"/>
      <c r="M55" s="300"/>
      <c r="N55" s="184"/>
      <c r="O55" s="184"/>
      <c r="R55" s="300"/>
    </row>
    <row r="56" spans="1:37" ht="13" thickBot="1">
      <c r="A56" s="393" t="s">
        <v>306</v>
      </c>
      <c r="B56" s="380">
        <v>5651746.7000000002</v>
      </c>
      <c r="C56" s="379">
        <v>5842664.7000000002</v>
      </c>
      <c r="D56" s="379">
        <v>6167644.2000000002</v>
      </c>
      <c r="E56" s="379">
        <v>6467697.5</v>
      </c>
      <c r="F56" s="379">
        <v>6912843.5</v>
      </c>
      <c r="G56" s="379">
        <v>7299371.5</v>
      </c>
      <c r="H56" s="379">
        <v>7749965.4000000004</v>
      </c>
      <c r="I56" s="379">
        <v>8577552</v>
      </c>
      <c r="J56" s="379">
        <v>9062817</v>
      </c>
      <c r="K56" s="379">
        <v>9631172</v>
      </c>
      <c r="L56" s="379">
        <v>10250952</v>
      </c>
      <c r="M56" s="379">
        <v>10581929</v>
      </c>
      <c r="N56" s="379">
        <v>10929108</v>
      </c>
      <c r="O56" s="379">
        <v>11456450</v>
      </c>
      <c r="P56" s="379">
        <v>12217196</v>
      </c>
      <c r="Q56" s="379">
        <v>13039197</v>
      </c>
      <c r="R56" s="379">
        <v>13815583</v>
      </c>
      <c r="S56" s="379">
        <v>14474228</v>
      </c>
      <c r="T56" s="379">
        <v>14769862</v>
      </c>
      <c r="U56" s="379">
        <v>14478067</v>
      </c>
      <c r="V56" s="379">
        <v>15048970</v>
      </c>
      <c r="W56" s="379">
        <v>15599731</v>
      </c>
      <c r="X56" s="379">
        <v>16253970</v>
      </c>
      <c r="Y56" s="379">
        <v>16843196</v>
      </c>
      <c r="Z56" s="379">
        <v>17550687</v>
      </c>
      <c r="AA56" s="379">
        <v>18206023</v>
      </c>
      <c r="AB56" s="379">
        <v>18695106</v>
      </c>
      <c r="AC56" s="379">
        <v>19477337</v>
      </c>
      <c r="AD56" s="379">
        <v>20533058</v>
      </c>
      <c r="AE56" s="379">
        <v>21380976</v>
      </c>
      <c r="AF56" s="379">
        <v>21060474</v>
      </c>
      <c r="AG56" s="422">
        <f>AF56</f>
        <v>21060474</v>
      </c>
      <c r="AH56" s="422">
        <f t="shared" ref="AH56:AK56" si="51">AG56</f>
        <v>21060474</v>
      </c>
      <c r="AI56" s="422">
        <f t="shared" si="51"/>
        <v>21060474</v>
      </c>
      <c r="AJ56" s="422">
        <f t="shared" si="51"/>
        <v>21060474</v>
      </c>
      <c r="AK56" s="423">
        <f t="shared" si="51"/>
        <v>21060474</v>
      </c>
    </row>
    <row r="57" spans="1:37" ht="13">
      <c r="A57" s="430" t="s">
        <v>307</v>
      </c>
      <c r="B57" s="431"/>
      <c r="C57" s="431"/>
      <c r="D57" s="431"/>
      <c r="E57" s="431"/>
      <c r="F57" s="431"/>
      <c r="G57" s="431"/>
      <c r="H57" s="431"/>
      <c r="I57" s="431"/>
      <c r="J57" s="431"/>
      <c r="K57" s="431"/>
      <c r="L57" s="431"/>
      <c r="M57" s="431"/>
      <c r="N57" s="431"/>
      <c r="O57" s="431"/>
      <c r="P57" s="431"/>
      <c r="Q57" s="431"/>
      <c r="R57" s="431"/>
      <c r="S57" s="431"/>
      <c r="T57" s="431"/>
      <c r="U57" s="431"/>
      <c r="V57" s="431"/>
      <c r="W57" s="431"/>
      <c r="X57" s="431"/>
      <c r="AF57" s="382"/>
      <c r="AG57" s="382"/>
      <c r="AH57" s="382"/>
      <c r="AI57" s="382"/>
      <c r="AJ57" s="382"/>
      <c r="AK57" s="382"/>
    </row>
  </sheetData>
  <sheetProtection algorithmName="SHA-512" hashValue="sG8CDxs9IP8HhCh3/8nx7pcZah3jSTt5fII7TE20bVpwQNr5sY5KoF12ZVFI1b0Ys6t2yLOlPC5F6MCkzsdrNA==" saltValue="RTqwLG1UIMhPtrg2C61vwQ==" spinCount="100000" sheet="1" objects="1" scenarios="1"/>
  <mergeCells count="1">
    <mergeCell ref="A57:X57"/>
  </mergeCells>
  <phoneticPr fontId="17" type="noConversion"/>
  <pageMargins left="0.75" right="0.75" top="1" bottom="1" header="0.5" footer="0.5"/>
  <pageSetup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B3:K55"/>
  <sheetViews>
    <sheetView showGridLines="0" showRowColHeaders="0" workbookViewId="0">
      <selection activeCell="B6" sqref="B6"/>
    </sheetView>
  </sheetViews>
  <sheetFormatPr defaultRowHeight="12.5"/>
  <cols>
    <col min="3" max="3" width="10" bestFit="1" customWidth="1"/>
    <col min="9" max="11" width="9.1796875" style="17" customWidth="1"/>
  </cols>
  <sheetData>
    <row r="3" spans="2:11">
      <c r="I3" s="313">
        <v>15</v>
      </c>
      <c r="J3" s="135" t="str">
        <f>VLOOKUP(StateChoice,$I$4:$K$55,2,FALSE)</f>
        <v>Illinois</v>
      </c>
      <c r="K3" s="135" t="str">
        <f>VLOOKUP(StateChoice,$I$4:$K$55,3,FALSE)</f>
        <v>IL</v>
      </c>
    </row>
    <row r="4" spans="2:11">
      <c r="I4" s="17">
        <v>1</v>
      </c>
      <c r="J4" s="17" t="s">
        <v>308</v>
      </c>
      <c r="K4" s="17" t="s">
        <v>309</v>
      </c>
    </row>
    <row r="5" spans="2:11">
      <c r="I5" s="17">
        <v>2</v>
      </c>
      <c r="J5" s="17" t="s">
        <v>310</v>
      </c>
      <c r="K5" s="17" t="s">
        <v>253</v>
      </c>
    </row>
    <row r="6" spans="2:11">
      <c r="B6" t="s">
        <v>311</v>
      </c>
      <c r="C6" s="314">
        <v>28</v>
      </c>
      <c r="I6" s="17">
        <v>3</v>
      </c>
      <c r="J6" s="17" t="s">
        <v>312</v>
      </c>
      <c r="K6" s="17" t="s">
        <v>254</v>
      </c>
    </row>
    <row r="7" spans="2:11">
      <c r="B7" t="s">
        <v>313</v>
      </c>
      <c r="C7" s="314">
        <v>265</v>
      </c>
      <c r="I7" s="17">
        <v>4</v>
      </c>
      <c r="J7" s="17" t="s">
        <v>314</v>
      </c>
      <c r="K7" s="17" t="s">
        <v>255</v>
      </c>
    </row>
    <row r="8" spans="2:11">
      <c r="I8" s="17">
        <v>5</v>
      </c>
      <c r="J8" s="17" t="s">
        <v>315</v>
      </c>
      <c r="K8" s="17" t="s">
        <v>256</v>
      </c>
    </row>
    <row r="9" spans="2:11">
      <c r="I9" s="17">
        <v>6</v>
      </c>
      <c r="J9" s="17" t="s">
        <v>316</v>
      </c>
      <c r="K9" s="17" t="s">
        <v>257</v>
      </c>
    </row>
    <row r="10" spans="2:11">
      <c r="I10" s="17">
        <v>7</v>
      </c>
      <c r="J10" s="17" t="s">
        <v>317</v>
      </c>
      <c r="K10" s="17" t="s">
        <v>258</v>
      </c>
    </row>
    <row r="11" spans="2:11">
      <c r="B11" t="s">
        <v>318</v>
      </c>
      <c r="C11">
        <f>44/12</f>
        <v>3.6666666666666665</v>
      </c>
      <c r="I11" s="17">
        <v>8</v>
      </c>
      <c r="J11" s="17" t="s">
        <v>319</v>
      </c>
      <c r="K11" s="17" t="s">
        <v>259</v>
      </c>
    </row>
    <row r="12" spans="2:11">
      <c r="B12" t="s">
        <v>320</v>
      </c>
      <c r="C12">
        <f>12/44</f>
        <v>0.27272727272727271</v>
      </c>
      <c r="I12" s="17">
        <v>9</v>
      </c>
      <c r="J12" s="17" t="s">
        <v>321</v>
      </c>
      <c r="K12" s="17" t="s">
        <v>260</v>
      </c>
    </row>
    <row r="13" spans="2:11">
      <c r="I13" s="17">
        <v>10</v>
      </c>
      <c r="J13" s="17" t="s">
        <v>322</v>
      </c>
      <c r="K13" s="17" t="s">
        <v>261</v>
      </c>
    </row>
    <row r="14" spans="2:11">
      <c r="I14" s="17">
        <v>11</v>
      </c>
      <c r="J14" s="17" t="s">
        <v>323</v>
      </c>
      <c r="K14" s="17" t="s">
        <v>262</v>
      </c>
    </row>
    <row r="15" spans="2:11">
      <c r="B15" t="s">
        <v>324</v>
      </c>
      <c r="C15">
        <v>1</v>
      </c>
      <c r="I15" s="17">
        <v>12</v>
      </c>
      <c r="J15" s="17" t="s">
        <v>325</v>
      </c>
      <c r="K15" s="17" t="s">
        <v>263</v>
      </c>
    </row>
    <row r="16" spans="2:11">
      <c r="B16" t="s">
        <v>326</v>
      </c>
      <c r="C16" t="s">
        <v>327</v>
      </c>
      <c r="I16" s="17">
        <v>13</v>
      </c>
      <c r="J16" s="17" t="s">
        <v>328</v>
      </c>
      <c r="K16" s="17" t="s">
        <v>264</v>
      </c>
    </row>
    <row r="17" spans="2:11">
      <c r="I17" s="17">
        <v>14</v>
      </c>
      <c r="J17" s="17" t="s">
        <v>329</v>
      </c>
      <c r="K17" s="17" t="s">
        <v>265</v>
      </c>
    </row>
    <row r="18" spans="2:11">
      <c r="I18" s="17">
        <v>15</v>
      </c>
      <c r="J18" s="17" t="s">
        <v>330</v>
      </c>
      <c r="K18" s="17" t="s">
        <v>266</v>
      </c>
    </row>
    <row r="19" spans="2:11">
      <c r="B19" t="s">
        <v>331</v>
      </c>
      <c r="C19">
        <v>1</v>
      </c>
      <c r="I19" s="17">
        <v>16</v>
      </c>
      <c r="J19" s="17" t="s">
        <v>332</v>
      </c>
      <c r="K19" s="17" t="s">
        <v>267</v>
      </c>
    </row>
    <row r="20" spans="2:11">
      <c r="B20" t="s">
        <v>333</v>
      </c>
      <c r="C20" s="381">
        <v>45078</v>
      </c>
      <c r="I20" s="17">
        <v>17</v>
      </c>
      <c r="J20" s="17" t="s">
        <v>334</v>
      </c>
      <c r="K20" s="17" t="s">
        <v>268</v>
      </c>
    </row>
    <row r="21" spans="2:11">
      <c r="B21" t="s">
        <v>335</v>
      </c>
      <c r="C21">
        <v>2020</v>
      </c>
      <c r="I21" s="17">
        <v>18</v>
      </c>
      <c r="J21" s="17" t="s">
        <v>336</v>
      </c>
      <c r="K21" s="17" t="s">
        <v>269</v>
      </c>
    </row>
    <row r="22" spans="2:11">
      <c r="I22" s="17">
        <v>19</v>
      </c>
      <c r="J22" s="17" t="s">
        <v>337</v>
      </c>
      <c r="K22" s="17" t="s">
        <v>270</v>
      </c>
    </row>
    <row r="23" spans="2:11">
      <c r="I23" s="17">
        <v>20</v>
      </c>
      <c r="J23" s="17" t="s">
        <v>338</v>
      </c>
      <c r="K23" s="17" t="s">
        <v>271</v>
      </c>
    </row>
    <row r="24" spans="2:11">
      <c r="I24" s="17">
        <v>21</v>
      </c>
      <c r="J24" s="17" t="s">
        <v>339</v>
      </c>
      <c r="K24" s="17" t="s">
        <v>272</v>
      </c>
    </row>
    <row r="25" spans="2:11">
      <c r="I25" s="17">
        <v>22</v>
      </c>
      <c r="J25" s="17" t="s">
        <v>340</v>
      </c>
      <c r="K25" s="17" t="s">
        <v>273</v>
      </c>
    </row>
    <row r="26" spans="2:11">
      <c r="I26" s="17">
        <v>23</v>
      </c>
      <c r="J26" s="17" t="s">
        <v>341</v>
      </c>
      <c r="K26" s="17" t="s">
        <v>274</v>
      </c>
    </row>
    <row r="27" spans="2:11">
      <c r="I27" s="17">
        <v>24</v>
      </c>
      <c r="J27" s="17" t="s">
        <v>342</v>
      </c>
      <c r="K27" s="17" t="s">
        <v>275</v>
      </c>
    </row>
    <row r="28" spans="2:11">
      <c r="I28" s="17">
        <v>25</v>
      </c>
      <c r="J28" s="17" t="s">
        <v>343</v>
      </c>
      <c r="K28" s="17" t="s">
        <v>276</v>
      </c>
    </row>
    <row r="29" spans="2:11">
      <c r="I29" s="17">
        <v>26</v>
      </c>
      <c r="J29" s="17" t="s">
        <v>344</v>
      </c>
      <c r="K29" s="17" t="s">
        <v>277</v>
      </c>
    </row>
    <row r="30" spans="2:11">
      <c r="I30" s="17">
        <v>27</v>
      </c>
      <c r="J30" s="17" t="s">
        <v>345</v>
      </c>
      <c r="K30" s="17" t="s">
        <v>278</v>
      </c>
    </row>
    <row r="31" spans="2:11">
      <c r="I31" s="17">
        <v>28</v>
      </c>
      <c r="J31" s="17" t="s">
        <v>346</v>
      </c>
      <c r="K31" s="17" t="s">
        <v>279</v>
      </c>
    </row>
    <row r="32" spans="2:11">
      <c r="I32" s="17">
        <v>29</v>
      </c>
      <c r="J32" s="17" t="s">
        <v>347</v>
      </c>
      <c r="K32" s="17" t="s">
        <v>280</v>
      </c>
    </row>
    <row r="33" spans="9:11">
      <c r="I33" s="17">
        <v>30</v>
      </c>
      <c r="J33" s="17" t="s">
        <v>348</v>
      </c>
      <c r="K33" s="17" t="s">
        <v>281</v>
      </c>
    </row>
    <row r="34" spans="9:11">
      <c r="I34" s="17">
        <v>31</v>
      </c>
      <c r="J34" s="17" t="s">
        <v>349</v>
      </c>
      <c r="K34" s="17" t="s">
        <v>282</v>
      </c>
    </row>
    <row r="35" spans="9:11">
      <c r="I35" s="17">
        <v>32</v>
      </c>
      <c r="J35" s="17" t="s">
        <v>350</v>
      </c>
      <c r="K35" s="17" t="s">
        <v>283</v>
      </c>
    </row>
    <row r="36" spans="9:11">
      <c r="I36" s="17">
        <v>33</v>
      </c>
      <c r="J36" s="17" t="s">
        <v>351</v>
      </c>
      <c r="K36" s="17" t="s">
        <v>284</v>
      </c>
    </row>
    <row r="37" spans="9:11">
      <c r="I37" s="17">
        <v>34</v>
      </c>
      <c r="J37" s="17" t="s">
        <v>352</v>
      </c>
      <c r="K37" s="17" t="s">
        <v>285</v>
      </c>
    </row>
    <row r="38" spans="9:11">
      <c r="I38" s="17">
        <v>35</v>
      </c>
      <c r="J38" s="17" t="s">
        <v>353</v>
      </c>
      <c r="K38" s="17" t="s">
        <v>286</v>
      </c>
    </row>
    <row r="39" spans="9:11">
      <c r="I39" s="17">
        <v>36</v>
      </c>
      <c r="J39" s="17" t="s">
        <v>354</v>
      </c>
      <c r="K39" s="17" t="s">
        <v>287</v>
      </c>
    </row>
    <row r="40" spans="9:11">
      <c r="I40" s="17">
        <v>37</v>
      </c>
      <c r="J40" s="17" t="s">
        <v>355</v>
      </c>
      <c r="K40" s="17" t="s">
        <v>288</v>
      </c>
    </row>
    <row r="41" spans="9:11">
      <c r="I41" s="17">
        <v>38</v>
      </c>
      <c r="J41" s="17" t="s">
        <v>356</v>
      </c>
      <c r="K41" s="17" t="s">
        <v>289</v>
      </c>
    </row>
    <row r="42" spans="9:11">
      <c r="I42" s="17">
        <v>39</v>
      </c>
      <c r="J42" s="17" t="s">
        <v>357</v>
      </c>
      <c r="K42" s="17" t="s">
        <v>290</v>
      </c>
    </row>
    <row r="43" spans="9:11">
      <c r="I43" s="17">
        <v>40</v>
      </c>
      <c r="J43" s="17" t="s">
        <v>358</v>
      </c>
      <c r="K43" s="17" t="s">
        <v>291</v>
      </c>
    </row>
    <row r="44" spans="9:11">
      <c r="I44" s="17">
        <v>41</v>
      </c>
      <c r="J44" s="17" t="s">
        <v>359</v>
      </c>
      <c r="K44" s="17" t="s">
        <v>292</v>
      </c>
    </row>
    <row r="45" spans="9:11">
      <c r="I45" s="17">
        <v>42</v>
      </c>
      <c r="J45" s="17" t="s">
        <v>360</v>
      </c>
      <c r="K45" s="17" t="s">
        <v>293</v>
      </c>
    </row>
    <row r="46" spans="9:11">
      <c r="I46" s="17">
        <v>43</v>
      </c>
      <c r="J46" s="17" t="s">
        <v>361</v>
      </c>
      <c r="K46" s="17" t="s">
        <v>294</v>
      </c>
    </row>
    <row r="47" spans="9:11">
      <c r="I47" s="17">
        <v>44</v>
      </c>
      <c r="J47" s="17" t="s">
        <v>362</v>
      </c>
      <c r="K47" s="17" t="s">
        <v>295</v>
      </c>
    </row>
    <row r="48" spans="9:11">
      <c r="I48" s="17">
        <v>45</v>
      </c>
      <c r="J48" s="17" t="s">
        <v>363</v>
      </c>
      <c r="K48" s="17" t="s">
        <v>296</v>
      </c>
    </row>
    <row r="49" spans="9:11">
      <c r="I49" s="17">
        <v>46</v>
      </c>
      <c r="J49" s="17" t="s">
        <v>364</v>
      </c>
      <c r="K49" s="17" t="s">
        <v>297</v>
      </c>
    </row>
    <row r="50" spans="9:11">
      <c r="I50" s="17">
        <v>47</v>
      </c>
      <c r="J50" s="17" t="s">
        <v>365</v>
      </c>
      <c r="K50" s="17" t="s">
        <v>298</v>
      </c>
    </row>
    <row r="51" spans="9:11">
      <c r="I51" s="17">
        <v>48</v>
      </c>
      <c r="J51" s="17" t="s">
        <v>366</v>
      </c>
      <c r="K51" s="17" t="s">
        <v>299</v>
      </c>
    </row>
    <row r="52" spans="9:11">
      <c r="I52" s="17">
        <v>49</v>
      </c>
      <c r="J52" s="17" t="s">
        <v>367</v>
      </c>
      <c r="K52" s="17" t="s">
        <v>300</v>
      </c>
    </row>
    <row r="53" spans="9:11">
      <c r="I53" s="17">
        <v>50</v>
      </c>
      <c r="J53" s="17" t="s">
        <v>368</v>
      </c>
      <c r="K53" s="17" t="s">
        <v>301</v>
      </c>
    </row>
    <row r="54" spans="9:11">
      <c r="I54" s="17">
        <v>51</v>
      </c>
      <c r="J54" s="17" t="s">
        <v>369</v>
      </c>
      <c r="K54" s="17" t="s">
        <v>302</v>
      </c>
    </row>
    <row r="55" spans="9:11">
      <c r="I55" s="17">
        <v>52</v>
      </c>
      <c r="J55" s="17" t="s">
        <v>370</v>
      </c>
      <c r="K55" s="17" t="s">
        <v>303</v>
      </c>
    </row>
  </sheetData>
  <sheetProtection algorithmName="SHA-512" hashValue="1OJIH1GjlXDQzX5DIEjhBut6wVxXxj52X4cP46onqZrLqBcS1QsM4Lj18vf5VIVDwksGYQ903pPLwtM+5KW1MQ==" saltValue="OaDYRTLIBzXbQkkTTLZ7fA==" spinCount="100000" sheet="1" objects="1" scenarios="1"/>
  <phoneticPr fontId="0" type="noConversion"/>
  <pageMargins left="0.75" right="0.75" top="1" bottom="1" header="0.5" footer="0.5"/>
  <pageSetup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dimension ref="A1:Z4"/>
  <sheetViews>
    <sheetView showGridLines="0" showRowColHeaders="0" workbookViewId="0">
      <selection activeCell="B6" sqref="B6"/>
    </sheetView>
  </sheetViews>
  <sheetFormatPr defaultColWidth="9.1796875" defaultRowHeight="12.5"/>
  <cols>
    <col min="1" max="16384" width="9.1796875" style="154"/>
  </cols>
  <sheetData>
    <row r="1" spans="1:26">
      <c r="Z1" s="155" t="s">
        <v>14</v>
      </c>
    </row>
    <row r="2" spans="1:26">
      <c r="Z2" s="155" t="s">
        <v>371</v>
      </c>
    </row>
    <row r="3" spans="1:26" ht="16.5">
      <c r="A3" s="156" t="s">
        <v>372</v>
      </c>
    </row>
    <row r="4" spans="1:26" ht="14">
      <c r="A4" s="157" t="s">
        <v>373</v>
      </c>
    </row>
  </sheetData>
  <sheetProtection algorithmName="SHA-512" hashValue="g6y8cdv1pQzdFtcc57FmObA9JCMjnw6waF9j+Yvs+2FeY+aL6DUubfzJbla0r0o1pgjfnwU1Ua+CtfzKQNkqwA==" saltValue="QDOli5M+igdxt4snXoEEjw==" spinCount="100000" sheet="1" objects="1" scenarios="1"/>
  <phoneticPr fontId="17" type="noConversion"/>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AZ49"/>
  <sheetViews>
    <sheetView showGridLines="0" showRowColHeaders="0" zoomScaleNormal="100" workbookViewId="0">
      <selection activeCell="B3" sqref="B3"/>
    </sheetView>
  </sheetViews>
  <sheetFormatPr defaultColWidth="9.1796875" defaultRowHeight="13"/>
  <cols>
    <col min="1" max="1" width="13.54296875" style="18" bestFit="1" customWidth="1"/>
    <col min="2" max="2" width="23.453125" style="18" customWidth="1"/>
    <col min="3" max="12" width="9.1796875" style="18"/>
    <col min="13" max="13" width="11" style="18" bestFit="1" customWidth="1"/>
    <col min="14" max="16384" width="9.1796875" style="18"/>
  </cols>
  <sheetData>
    <row r="1" spans="1:52" ht="43.5" customHeight="1">
      <c r="A1" s="426" t="str">
        <f>"Summary of CO2 Emissions from Fossil Fuel Combustion in "&amp;StateName&amp;" (MMTCO2E)"</f>
        <v>Summary of CO2 Emissions from Fossil Fuel Combustion in Illinois (MMTCO2E)</v>
      </c>
      <c r="B1" s="426"/>
      <c r="C1" s="426"/>
      <c r="D1" s="426"/>
      <c r="E1" s="426"/>
      <c r="AA1" s="182"/>
      <c r="AZ1" s="211">
        <v>45329.435692476851</v>
      </c>
    </row>
    <row r="2" spans="1:52" ht="54" customHeight="1">
      <c r="A2" s="19"/>
    </row>
    <row r="3" spans="1:52" ht="13.5" thickBot="1">
      <c r="B3" s="56" t="s">
        <v>19</v>
      </c>
      <c r="C3" s="20">
        <v>1990</v>
      </c>
      <c r="D3" s="20">
        <v>1991</v>
      </c>
      <c r="E3" s="20">
        <v>1992</v>
      </c>
      <c r="F3" s="20">
        <v>1993</v>
      </c>
      <c r="G3" s="20">
        <v>1994</v>
      </c>
      <c r="H3" s="20">
        <v>1995</v>
      </c>
      <c r="I3" s="20">
        <v>1996</v>
      </c>
      <c r="J3" s="20">
        <v>1997</v>
      </c>
      <c r="K3" s="20">
        <v>1998</v>
      </c>
      <c r="L3" s="20">
        <v>1999</v>
      </c>
      <c r="M3" s="20">
        <v>2000</v>
      </c>
      <c r="N3" s="20">
        <v>2001</v>
      </c>
      <c r="O3" s="20">
        <v>2002</v>
      </c>
      <c r="P3" s="20">
        <v>2003</v>
      </c>
      <c r="Q3" s="20">
        <v>2004</v>
      </c>
      <c r="R3" s="20">
        <v>2005</v>
      </c>
      <c r="S3" s="20">
        <v>2006</v>
      </c>
      <c r="T3" s="20">
        <v>2007</v>
      </c>
      <c r="U3" s="20">
        <v>2008</v>
      </c>
      <c r="V3" s="20">
        <v>2009</v>
      </c>
      <c r="W3" s="20">
        <v>2010</v>
      </c>
      <c r="X3" s="20">
        <v>2011</v>
      </c>
      <c r="Y3" s="20">
        <v>2012</v>
      </c>
      <c r="Z3" s="20">
        <v>2013</v>
      </c>
      <c r="AA3" s="20">
        <v>2014</v>
      </c>
      <c r="AB3" s="20">
        <v>2015</v>
      </c>
      <c r="AC3" s="20">
        <v>2016</v>
      </c>
      <c r="AD3" s="20">
        <v>2017</v>
      </c>
      <c r="AE3" s="20">
        <v>2018</v>
      </c>
      <c r="AF3" s="20">
        <v>2019</v>
      </c>
      <c r="AG3" s="20">
        <v>2020</v>
      </c>
      <c r="AH3" s="20">
        <v>2021</v>
      </c>
      <c r="AI3" s="20">
        <v>2022</v>
      </c>
      <c r="AJ3" s="20">
        <v>2023</v>
      </c>
      <c r="AK3" s="20">
        <v>2024</v>
      </c>
      <c r="AL3" s="20">
        <v>2025</v>
      </c>
    </row>
    <row r="4" spans="1:52">
      <c r="B4" s="21" t="s">
        <v>20</v>
      </c>
      <c r="C4" s="22">
        <f>SUM(C5:C8)</f>
        <v>25.489661512349073</v>
      </c>
      <c r="D4" s="22">
        <f t="shared" ref="D4:AG4" si="0">SUM(D5:D8)</f>
        <v>26.815454204018909</v>
      </c>
      <c r="E4" s="22">
        <f t="shared" si="0"/>
        <v>27.098271499006575</v>
      </c>
      <c r="F4" s="22">
        <f t="shared" si="0"/>
        <v>28.218687428251165</v>
      </c>
      <c r="G4" s="22">
        <f t="shared" si="0"/>
        <v>26.991117294813385</v>
      </c>
      <c r="H4" s="22">
        <f t="shared" si="0"/>
        <v>28.464069023048442</v>
      </c>
      <c r="I4" s="22">
        <f t="shared" si="0"/>
        <v>30.795756215395105</v>
      </c>
      <c r="J4" s="22">
        <f t="shared" si="0"/>
        <v>28.640961583827778</v>
      </c>
      <c r="K4" s="22">
        <f t="shared" si="0"/>
        <v>23.57071986385899</v>
      </c>
      <c r="L4" s="22">
        <f t="shared" si="0"/>
        <v>26.191193764339754</v>
      </c>
      <c r="M4" s="22">
        <f t="shared" si="0"/>
        <v>26.929614755568046</v>
      </c>
      <c r="N4" s="22">
        <f t="shared" si="0"/>
        <v>24.333396371920291</v>
      </c>
      <c r="O4" s="22">
        <f t="shared" si="0"/>
        <v>26.236686296845203</v>
      </c>
      <c r="P4" s="22">
        <f t="shared" si="0"/>
        <v>26.811123052177063</v>
      </c>
      <c r="Q4" s="22">
        <f t="shared" si="0"/>
        <v>25.10726973463423</v>
      </c>
      <c r="R4" s="22">
        <f t="shared" si="0"/>
        <v>24.759875903636559</v>
      </c>
      <c r="S4" s="22">
        <f t="shared" si="0"/>
        <v>22.713452835549436</v>
      </c>
      <c r="T4" s="22">
        <f t="shared" si="0"/>
        <v>24.70979095841184</v>
      </c>
      <c r="U4" s="22">
        <f t="shared" si="0"/>
        <v>26.887524586176752</v>
      </c>
      <c r="V4" s="22">
        <f t="shared" si="0"/>
        <v>25.288591571368752</v>
      </c>
      <c r="W4" s="22">
        <f t="shared" si="0"/>
        <v>23.943752938326607</v>
      </c>
      <c r="X4" s="22">
        <f t="shared" si="0"/>
        <v>23.901158218305344</v>
      </c>
      <c r="Y4" s="22">
        <f t="shared" si="0"/>
        <v>20.552724633178624</v>
      </c>
      <c r="Z4" s="22">
        <f t="shared" si="0"/>
        <v>26.025541744510466</v>
      </c>
      <c r="AA4" s="22">
        <f t="shared" si="0"/>
        <v>27.350351673190207</v>
      </c>
      <c r="AB4" s="22">
        <f t="shared" si="0"/>
        <v>23.092869213832671</v>
      </c>
      <c r="AC4" s="22">
        <f t="shared" si="0"/>
        <v>22.312260058081968</v>
      </c>
      <c r="AD4" s="22">
        <f t="shared" si="0"/>
        <v>21.753695606516402</v>
      </c>
      <c r="AE4" s="22">
        <f t="shared" si="0"/>
        <v>25.312859686139806</v>
      </c>
      <c r="AF4" s="22">
        <f t="shared" si="0"/>
        <v>25.714815239372054</v>
      </c>
      <c r="AG4" s="22">
        <f t="shared" si="0"/>
        <v>23.44894290650284</v>
      </c>
      <c r="AH4" s="22">
        <f t="shared" ref="AH4:AL4" si="1">SUM(AH5:AH8)</f>
        <v>0</v>
      </c>
      <c r="AI4" s="22">
        <f t="shared" si="1"/>
        <v>0</v>
      </c>
      <c r="AJ4" s="22">
        <f t="shared" si="1"/>
        <v>0</v>
      </c>
      <c r="AK4" s="22">
        <f t="shared" si="1"/>
        <v>0</v>
      </c>
      <c r="AL4" s="22">
        <f t="shared" si="1"/>
        <v>0</v>
      </c>
    </row>
    <row r="5" spans="1:52">
      <c r="B5" s="23" t="s">
        <v>21</v>
      </c>
      <c r="C5" s="24">
        <v>0.1142876956194791</v>
      </c>
      <c r="D5" s="24">
        <v>0.10065762279090237</v>
      </c>
      <c r="E5" s="24">
        <v>0.11252539795826526</v>
      </c>
      <c r="F5" s="24">
        <v>0.1018801788801407</v>
      </c>
      <c r="G5" s="24">
        <v>8.2574465578434231E-2</v>
      </c>
      <c r="H5" s="24">
        <v>6.2562766974330816E-2</v>
      </c>
      <c r="I5" s="24">
        <v>4.8580981460003773E-2</v>
      </c>
      <c r="J5" s="24">
        <v>7.0262218471183829E-2</v>
      </c>
      <c r="K5" s="24">
        <v>5.475099570518787E-2</v>
      </c>
      <c r="L5" s="24">
        <v>4.5433184874434762E-2</v>
      </c>
      <c r="M5" s="24">
        <v>5.301221406522965E-2</v>
      </c>
      <c r="N5" s="24">
        <v>5.5188278655594593E-2</v>
      </c>
      <c r="O5" s="24">
        <v>4.5609975415514134E-2</v>
      </c>
      <c r="P5" s="24">
        <v>7.5690884553661339E-2</v>
      </c>
      <c r="Q5" s="24">
        <v>5.4300152431207144E-2</v>
      </c>
      <c r="R5" s="24">
        <v>2.5493640083959445E-2</v>
      </c>
      <c r="S5" s="24">
        <v>2.6581542037408666E-2</v>
      </c>
      <c r="T5" s="24">
        <v>3.5162722373686665E-2</v>
      </c>
      <c r="U5" s="24">
        <v>0</v>
      </c>
      <c r="V5" s="24">
        <v>0</v>
      </c>
      <c r="W5" s="24">
        <v>0</v>
      </c>
      <c r="X5" s="24">
        <v>0</v>
      </c>
      <c r="Y5" s="24">
        <v>0</v>
      </c>
      <c r="Z5" s="24">
        <v>0</v>
      </c>
      <c r="AA5" s="24">
        <v>0</v>
      </c>
      <c r="AB5" s="24">
        <v>0</v>
      </c>
      <c r="AC5" s="24">
        <v>0</v>
      </c>
      <c r="AD5" s="24">
        <v>0</v>
      </c>
      <c r="AE5" s="24">
        <v>0</v>
      </c>
      <c r="AF5" s="24">
        <v>0</v>
      </c>
      <c r="AG5" s="24">
        <v>0</v>
      </c>
      <c r="AH5" s="24">
        <v>0</v>
      </c>
      <c r="AI5" s="24">
        <v>0</v>
      </c>
      <c r="AJ5" s="24">
        <v>0</v>
      </c>
      <c r="AK5" s="24">
        <v>0</v>
      </c>
      <c r="AL5" s="24">
        <v>0</v>
      </c>
    </row>
    <row r="6" spans="1:52">
      <c r="B6" s="23" t="s">
        <v>22</v>
      </c>
      <c r="C6" s="24">
        <v>1.4204133860713344</v>
      </c>
      <c r="D6" s="24">
        <v>1.4961987323912622</v>
      </c>
      <c r="E6" s="24">
        <v>1.3394475995874089</v>
      </c>
      <c r="F6" s="24">
        <v>1.2949549814975048</v>
      </c>
      <c r="G6" s="24">
        <v>1.26041950108126</v>
      </c>
      <c r="H6" s="24">
        <v>1.3005550911747488</v>
      </c>
      <c r="I6" s="24">
        <v>1.6252582856296123</v>
      </c>
      <c r="J6" s="24">
        <v>1.6334540147625873</v>
      </c>
      <c r="K6" s="24">
        <v>1.3200255757711563</v>
      </c>
      <c r="L6" s="24">
        <v>2.0134495758723676</v>
      </c>
      <c r="M6" s="24">
        <v>1.5467666642551801</v>
      </c>
      <c r="N6" s="24">
        <v>1.1790219152265822</v>
      </c>
      <c r="O6" s="24">
        <v>1.4896691035628413</v>
      </c>
      <c r="P6" s="24">
        <v>1.2546504446819942</v>
      </c>
      <c r="Q6" s="24">
        <v>1.2101142381094241</v>
      </c>
      <c r="R6" s="24">
        <v>1.1925043675432088</v>
      </c>
      <c r="S6" s="24">
        <v>1.2404750952178873</v>
      </c>
      <c r="T6" s="24">
        <v>1.3753473759626054</v>
      </c>
      <c r="U6" s="24">
        <v>1.8353111289446944</v>
      </c>
      <c r="V6" s="24">
        <v>1.6400218989740063</v>
      </c>
      <c r="W6" s="24">
        <v>1.6607643547007298</v>
      </c>
      <c r="X6" s="24">
        <v>1.4628599291264188</v>
      </c>
      <c r="Y6" s="24">
        <v>1.1897811254764024</v>
      </c>
      <c r="Z6" s="24">
        <v>1.6348413056837481</v>
      </c>
      <c r="AA6" s="24">
        <v>1.3578521170427023</v>
      </c>
      <c r="AB6" s="24">
        <v>1.2450360468880479</v>
      </c>
      <c r="AC6" s="24">
        <v>1.1896119351267802</v>
      </c>
      <c r="AD6" s="24">
        <v>1.1755503623201693</v>
      </c>
      <c r="AE6" s="24">
        <v>1.4411315131445914</v>
      </c>
      <c r="AF6" s="24">
        <v>1.7819067509127844</v>
      </c>
      <c r="AG6" s="24">
        <v>1.7076254267928448</v>
      </c>
      <c r="AH6" s="24">
        <v>0</v>
      </c>
      <c r="AI6" s="24">
        <v>0</v>
      </c>
      <c r="AJ6" s="24">
        <v>0</v>
      </c>
      <c r="AK6" s="24">
        <v>0</v>
      </c>
      <c r="AL6" s="24">
        <v>0</v>
      </c>
    </row>
    <row r="7" spans="1:52">
      <c r="B7" s="23" t="s">
        <v>23</v>
      </c>
      <c r="C7" s="47">
        <v>23.954960430658261</v>
      </c>
      <c r="D7" s="47">
        <v>25.218597848836744</v>
      </c>
      <c r="E7" s="47">
        <v>25.646298501460901</v>
      </c>
      <c r="F7" s="47">
        <v>26.821852267873521</v>
      </c>
      <c r="G7" s="47">
        <v>25.648123328153691</v>
      </c>
      <c r="H7" s="47">
        <v>27.100951164899364</v>
      </c>
      <c r="I7" s="47">
        <v>29.12191694830549</v>
      </c>
      <c r="J7" s="47">
        <v>26.937245350594008</v>
      </c>
      <c r="K7" s="47">
        <v>22.195943292382648</v>
      </c>
      <c r="L7" s="47">
        <v>24.132311003592953</v>
      </c>
      <c r="M7" s="47">
        <v>25.329835877247636</v>
      </c>
      <c r="N7" s="47">
        <v>23.099186178038114</v>
      </c>
      <c r="O7" s="47">
        <v>24.701407217866848</v>
      </c>
      <c r="P7" s="47">
        <v>25.480781722941408</v>
      </c>
      <c r="Q7" s="47">
        <v>23.842855344093596</v>
      </c>
      <c r="R7" s="47">
        <v>23.541877896009389</v>
      </c>
      <c r="S7" s="47">
        <v>21.446396198294138</v>
      </c>
      <c r="T7" s="47">
        <v>23.299280860075548</v>
      </c>
      <c r="U7" s="47">
        <v>25.052213457232057</v>
      </c>
      <c r="V7" s="47">
        <v>23.648569672394746</v>
      </c>
      <c r="W7" s="47">
        <v>22.282988583625876</v>
      </c>
      <c r="X7" s="47">
        <v>22.438298289178924</v>
      </c>
      <c r="Y7" s="47">
        <v>19.362943507702223</v>
      </c>
      <c r="Z7" s="47">
        <v>24.39070043882672</v>
      </c>
      <c r="AA7" s="47">
        <v>25.992499556147504</v>
      </c>
      <c r="AB7" s="47">
        <v>21.847833166944625</v>
      </c>
      <c r="AC7" s="47">
        <v>21.122648122955187</v>
      </c>
      <c r="AD7" s="47">
        <v>20.578145244196232</v>
      </c>
      <c r="AE7" s="47">
        <v>23.871728172995216</v>
      </c>
      <c r="AF7" s="47">
        <v>23.932908488459269</v>
      </c>
      <c r="AG7" s="47">
        <v>21.741317479709995</v>
      </c>
      <c r="AH7" s="47">
        <v>0</v>
      </c>
      <c r="AI7" s="47">
        <v>0</v>
      </c>
      <c r="AJ7" s="47">
        <v>0</v>
      </c>
      <c r="AK7" s="47">
        <v>0</v>
      </c>
      <c r="AL7" s="47">
        <v>0</v>
      </c>
    </row>
    <row r="8" spans="1:52" ht="13.5" thickBot="1">
      <c r="B8" s="25" t="s">
        <v>24</v>
      </c>
      <c r="C8" s="26">
        <v>0</v>
      </c>
      <c r="D8" s="26">
        <v>0</v>
      </c>
      <c r="E8" s="26">
        <v>0</v>
      </c>
      <c r="F8" s="26">
        <v>0</v>
      </c>
      <c r="G8" s="26">
        <v>0</v>
      </c>
      <c r="H8" s="26">
        <v>0</v>
      </c>
      <c r="I8" s="26">
        <v>0</v>
      </c>
      <c r="J8" s="26">
        <v>0</v>
      </c>
      <c r="K8" s="26">
        <v>0</v>
      </c>
      <c r="L8" s="26">
        <v>0</v>
      </c>
      <c r="M8" s="26">
        <v>0</v>
      </c>
      <c r="N8" s="26">
        <v>0</v>
      </c>
      <c r="O8" s="26">
        <v>0</v>
      </c>
      <c r="P8" s="26">
        <v>0</v>
      </c>
      <c r="Q8" s="26">
        <v>0</v>
      </c>
      <c r="R8" s="26">
        <v>0</v>
      </c>
      <c r="S8" s="26">
        <v>0</v>
      </c>
      <c r="T8" s="26">
        <v>0</v>
      </c>
      <c r="U8" s="26">
        <v>0</v>
      </c>
      <c r="V8" s="26">
        <v>0</v>
      </c>
      <c r="W8" s="26">
        <v>0</v>
      </c>
      <c r="X8" s="26">
        <v>0</v>
      </c>
      <c r="Y8" s="26">
        <v>0</v>
      </c>
      <c r="Z8" s="26">
        <v>0</v>
      </c>
      <c r="AA8" s="26">
        <v>0</v>
      </c>
      <c r="AB8" s="26">
        <v>0</v>
      </c>
      <c r="AC8" s="26">
        <v>0</v>
      </c>
      <c r="AD8" s="26">
        <v>0</v>
      </c>
      <c r="AE8" s="26">
        <v>0</v>
      </c>
      <c r="AF8" s="26">
        <v>0</v>
      </c>
      <c r="AG8" s="26">
        <v>0</v>
      </c>
      <c r="AH8" s="26">
        <v>0</v>
      </c>
      <c r="AI8" s="26">
        <v>0</v>
      </c>
      <c r="AJ8" s="26">
        <v>0</v>
      </c>
      <c r="AK8" s="26">
        <v>0</v>
      </c>
      <c r="AL8" s="26">
        <v>0</v>
      </c>
    </row>
    <row r="9" spans="1:52">
      <c r="B9" s="220" t="s">
        <v>25</v>
      </c>
      <c r="C9" s="221">
        <f>SUM(C10:C13)</f>
        <v>12.528544487058337</v>
      </c>
      <c r="D9" s="221">
        <f t="shared" ref="D9:AG9" si="2">SUM(D10:D13)</f>
        <v>11.992830568628763</v>
      </c>
      <c r="E9" s="221">
        <f t="shared" si="2"/>
        <v>12.233416779481523</v>
      </c>
      <c r="F9" s="221">
        <f t="shared" si="2"/>
        <v>12.576737939749759</v>
      </c>
      <c r="G9" s="221">
        <f t="shared" si="2"/>
        <v>12.297930381616684</v>
      </c>
      <c r="H9" s="221">
        <f t="shared" si="2"/>
        <v>12.518337028302982</v>
      </c>
      <c r="I9" s="221">
        <f t="shared" si="2"/>
        <v>13.327969168684934</v>
      </c>
      <c r="J9" s="221">
        <f t="shared" si="2"/>
        <v>12.914639256935573</v>
      </c>
      <c r="K9" s="221">
        <f t="shared" si="2"/>
        <v>11.045386979159538</v>
      </c>
      <c r="L9" s="221">
        <f t="shared" si="2"/>
        <v>11.580779982183403</v>
      </c>
      <c r="M9" s="221">
        <f t="shared" si="2"/>
        <v>12.409748429288573</v>
      </c>
      <c r="N9" s="221">
        <f t="shared" si="2"/>
        <v>11.779421347608483</v>
      </c>
      <c r="O9" s="221">
        <f t="shared" si="2"/>
        <v>12.429013610809664</v>
      </c>
      <c r="P9" s="221">
        <f t="shared" si="2"/>
        <v>12.905453132592978</v>
      </c>
      <c r="Q9" s="221">
        <f t="shared" si="2"/>
        <v>12.223488525724489</v>
      </c>
      <c r="R9" s="221">
        <f t="shared" si="2"/>
        <v>11.849211426375946</v>
      </c>
      <c r="S9" s="221">
        <f t="shared" si="2"/>
        <v>11.603892579444354</v>
      </c>
      <c r="T9" s="221">
        <f t="shared" si="2"/>
        <v>11.845393341349993</v>
      </c>
      <c r="U9" s="221">
        <f t="shared" si="2"/>
        <v>13.241253357270898</v>
      </c>
      <c r="V9" s="221">
        <f t="shared" si="2"/>
        <v>13.236790193117187</v>
      </c>
      <c r="W9" s="221">
        <f t="shared" si="2"/>
        <v>11.621727169553324</v>
      </c>
      <c r="X9" s="221">
        <f t="shared" si="2"/>
        <v>12.536203176282713</v>
      </c>
      <c r="Y9" s="221">
        <f t="shared" si="2"/>
        <v>11.012939138912774</v>
      </c>
      <c r="Z9" s="221">
        <f t="shared" si="2"/>
        <v>13.588976901253147</v>
      </c>
      <c r="AA9" s="221">
        <f t="shared" si="2"/>
        <v>14.41224493355503</v>
      </c>
      <c r="AB9" s="221">
        <f t="shared" si="2"/>
        <v>13.471504810728293</v>
      </c>
      <c r="AC9" s="221">
        <f t="shared" si="2"/>
        <v>13.34474770163297</v>
      </c>
      <c r="AD9" s="221">
        <f t="shared" si="2"/>
        <v>13.550848593506435</v>
      </c>
      <c r="AE9" s="221">
        <f t="shared" si="2"/>
        <v>14.946964122854249</v>
      </c>
      <c r="AF9" s="221">
        <f t="shared" si="2"/>
        <v>15.35346204343762</v>
      </c>
      <c r="AG9" s="221">
        <f t="shared" si="2"/>
        <v>13.641580495479896</v>
      </c>
      <c r="AH9" s="221">
        <f t="shared" ref="AH9:AL9" si="3">SUM(AH10:AH13)</f>
        <v>0</v>
      </c>
      <c r="AI9" s="221">
        <f t="shared" si="3"/>
        <v>0</v>
      </c>
      <c r="AJ9" s="221">
        <f t="shared" si="3"/>
        <v>0</v>
      </c>
      <c r="AK9" s="221">
        <f t="shared" si="3"/>
        <v>0</v>
      </c>
      <c r="AL9" s="221">
        <f t="shared" si="3"/>
        <v>0</v>
      </c>
    </row>
    <row r="10" spans="1:52">
      <c r="B10" s="23" t="s">
        <v>21</v>
      </c>
      <c r="C10" s="24">
        <v>0.45715078247791641</v>
      </c>
      <c r="D10" s="24">
        <v>0.45859420297367109</v>
      </c>
      <c r="E10" s="24">
        <v>0.51241144246515291</v>
      </c>
      <c r="F10" s="28">
        <v>0.46431267964207251</v>
      </c>
      <c r="G10" s="24">
        <v>0.46798576030605077</v>
      </c>
      <c r="H10" s="24">
        <v>0.41849030037347174</v>
      </c>
      <c r="I10" s="24">
        <v>0.35629234536383902</v>
      </c>
      <c r="J10" s="24">
        <v>0.56855427595330921</v>
      </c>
      <c r="K10" s="24">
        <v>0.44259443648591662</v>
      </c>
      <c r="L10" s="24">
        <v>0.33317668907918829</v>
      </c>
      <c r="M10" s="24">
        <v>0.42857896083310665</v>
      </c>
      <c r="N10" s="24">
        <v>0.44684395567776758</v>
      </c>
      <c r="O10" s="24">
        <v>0.33421923529948772</v>
      </c>
      <c r="P10" s="24">
        <v>0.50645124015350196</v>
      </c>
      <c r="Q10" s="24">
        <v>0.48851151120802777</v>
      </c>
      <c r="R10" s="24">
        <v>0.29370201085490355</v>
      </c>
      <c r="S10" s="24">
        <v>0.26899364822638555</v>
      </c>
      <c r="T10" s="24">
        <v>0.31665457013276749</v>
      </c>
      <c r="U10" s="24">
        <v>0.43741218811459809</v>
      </c>
      <c r="V10" s="24">
        <v>0.37106929747756096</v>
      </c>
      <c r="W10" s="24">
        <v>0.35950126027931351</v>
      </c>
      <c r="X10" s="24">
        <v>0.31749686298785912</v>
      </c>
      <c r="Y10" s="24">
        <v>0.27346505021262724</v>
      </c>
      <c r="Z10" s="24">
        <v>0.28195656941528663</v>
      </c>
      <c r="AA10" s="24">
        <v>0.26123468673337524</v>
      </c>
      <c r="AB10" s="24">
        <v>0.20580797737824402</v>
      </c>
      <c r="AC10" s="24">
        <v>0.22533473188268879</v>
      </c>
      <c r="AD10" s="24">
        <v>0.22262292559258937</v>
      </c>
      <c r="AE10" s="24">
        <v>0.24449871217063798</v>
      </c>
      <c r="AF10" s="24">
        <v>0.1921471652590446</v>
      </c>
      <c r="AG10" s="24">
        <v>0.17541015500919638</v>
      </c>
      <c r="AH10" s="24">
        <v>0</v>
      </c>
      <c r="AI10" s="24">
        <v>0</v>
      </c>
      <c r="AJ10" s="24">
        <v>0</v>
      </c>
      <c r="AK10" s="24">
        <v>0</v>
      </c>
      <c r="AL10" s="24">
        <v>0</v>
      </c>
    </row>
    <row r="11" spans="1:52">
      <c r="B11" s="23" t="s">
        <v>22</v>
      </c>
      <c r="C11" s="24">
        <v>1.221564972769172</v>
      </c>
      <c r="D11" s="24">
        <v>1.0657461539720456</v>
      </c>
      <c r="E11" s="24">
        <v>1.0945255781867762</v>
      </c>
      <c r="F11" s="28">
        <v>1.1111980556791234</v>
      </c>
      <c r="G11" s="24">
        <v>1.1352995812278277</v>
      </c>
      <c r="H11" s="24">
        <v>1.0709234216573498</v>
      </c>
      <c r="I11" s="24">
        <v>1.1848051454368194</v>
      </c>
      <c r="J11" s="24">
        <v>1.3567354068785389</v>
      </c>
      <c r="K11" s="24">
        <v>1.1414986344149169</v>
      </c>
      <c r="L11" s="24">
        <v>1.0291815205415029</v>
      </c>
      <c r="M11" s="24">
        <v>1.0386128768816776</v>
      </c>
      <c r="N11" s="24">
        <v>1.103212005123497</v>
      </c>
      <c r="O11" s="24">
        <v>1.095291872364085</v>
      </c>
      <c r="P11" s="24">
        <v>1.004926207757433</v>
      </c>
      <c r="Q11" s="24">
        <v>0.76350458215638894</v>
      </c>
      <c r="R11" s="24">
        <v>0.69399998012675179</v>
      </c>
      <c r="S11" s="24">
        <v>0.76003357623482659</v>
      </c>
      <c r="T11" s="24">
        <v>0.58691143695734516</v>
      </c>
      <c r="U11" s="24">
        <v>0.84670033979886583</v>
      </c>
      <c r="V11" s="24">
        <v>0.89443271346784958</v>
      </c>
      <c r="W11" s="24">
        <v>0.66896636198807113</v>
      </c>
      <c r="X11" s="24">
        <v>0.64895543935328781</v>
      </c>
      <c r="Y11" s="24">
        <v>0.64735332147369651</v>
      </c>
      <c r="Z11" s="24">
        <v>0.86810412693371752</v>
      </c>
      <c r="AA11" s="24">
        <v>0.80022892195792539</v>
      </c>
      <c r="AB11" s="24">
        <v>1.5362719007605325</v>
      </c>
      <c r="AC11" s="24">
        <v>1.5097322002069584</v>
      </c>
      <c r="AD11" s="24">
        <v>1.5587078958178973</v>
      </c>
      <c r="AE11" s="24">
        <v>1.5210416159045455</v>
      </c>
      <c r="AF11" s="24">
        <v>1.6491740096285314</v>
      </c>
      <c r="AG11" s="24">
        <v>1.6318700516471734</v>
      </c>
      <c r="AH11" s="24">
        <v>0</v>
      </c>
      <c r="AI11" s="24">
        <v>0</v>
      </c>
      <c r="AJ11" s="24">
        <v>0</v>
      </c>
      <c r="AK11" s="24">
        <v>0</v>
      </c>
      <c r="AL11" s="24">
        <v>0</v>
      </c>
    </row>
    <row r="12" spans="1:52">
      <c r="B12" s="23" t="s">
        <v>23</v>
      </c>
      <c r="C12" s="47">
        <v>10.849828731811249</v>
      </c>
      <c r="D12" s="47">
        <v>10.468490211683047</v>
      </c>
      <c r="E12" s="47">
        <v>10.626479758829595</v>
      </c>
      <c r="F12" s="219">
        <v>11.001227204428563</v>
      </c>
      <c r="G12" s="47">
        <v>10.694645040082806</v>
      </c>
      <c r="H12" s="47">
        <v>11.02892330627216</v>
      </c>
      <c r="I12" s="47">
        <v>11.786871677884276</v>
      </c>
      <c r="J12" s="47">
        <v>10.989349574103723</v>
      </c>
      <c r="K12" s="47">
        <v>9.4612939082587051</v>
      </c>
      <c r="L12" s="47">
        <v>10.218421772562712</v>
      </c>
      <c r="M12" s="47">
        <v>10.942556591573789</v>
      </c>
      <c r="N12" s="47">
        <v>10.229365386807219</v>
      </c>
      <c r="O12" s="47">
        <v>10.999502503146092</v>
      </c>
      <c r="P12" s="47">
        <v>11.394075684682043</v>
      </c>
      <c r="Q12" s="47">
        <v>10.971472432360073</v>
      </c>
      <c r="R12" s="47">
        <v>10.861509435394291</v>
      </c>
      <c r="S12" s="47">
        <v>10.574865354983142</v>
      </c>
      <c r="T12" s="47">
        <v>10.94182733425988</v>
      </c>
      <c r="U12" s="47">
        <v>11.957140829357433</v>
      </c>
      <c r="V12" s="47">
        <v>11.971288182171776</v>
      </c>
      <c r="W12" s="47">
        <v>10.593259547285939</v>
      </c>
      <c r="X12" s="47">
        <v>11.569750873941567</v>
      </c>
      <c r="Y12" s="47">
        <v>10.092120767226451</v>
      </c>
      <c r="Z12" s="47">
        <v>12.438916204904144</v>
      </c>
      <c r="AA12" s="47">
        <v>13.35078132486373</v>
      </c>
      <c r="AB12" s="47">
        <v>11.729424932589517</v>
      </c>
      <c r="AC12" s="47">
        <v>11.609680769543322</v>
      </c>
      <c r="AD12" s="47">
        <v>11.769517772095949</v>
      </c>
      <c r="AE12" s="24">
        <v>13.181423794779066</v>
      </c>
      <c r="AF12" s="47">
        <v>13.512140868550045</v>
      </c>
      <c r="AG12" s="47">
        <v>11.834300288823526</v>
      </c>
      <c r="AH12" s="47">
        <v>0</v>
      </c>
      <c r="AI12" s="47">
        <v>0</v>
      </c>
      <c r="AJ12" s="47">
        <v>0</v>
      </c>
      <c r="AK12" s="47">
        <v>0</v>
      </c>
      <c r="AL12" s="47">
        <v>0</v>
      </c>
    </row>
    <row r="13" spans="1:52" ht="13.5" thickBot="1">
      <c r="B13" s="25" t="s">
        <v>24</v>
      </c>
      <c r="C13" s="26">
        <v>0</v>
      </c>
      <c r="D13" s="26">
        <v>0</v>
      </c>
      <c r="E13" s="26">
        <v>0</v>
      </c>
      <c r="F13" s="26">
        <v>0</v>
      </c>
      <c r="G13" s="26">
        <v>0</v>
      </c>
      <c r="H13" s="26">
        <v>0</v>
      </c>
      <c r="I13" s="26">
        <v>0</v>
      </c>
      <c r="J13" s="26">
        <v>0</v>
      </c>
      <c r="K13" s="26">
        <v>0</v>
      </c>
      <c r="L13" s="26">
        <v>0</v>
      </c>
      <c r="M13" s="26">
        <v>0</v>
      </c>
      <c r="N13" s="26">
        <v>0</v>
      </c>
      <c r="O13" s="26">
        <v>0</v>
      </c>
      <c r="P13" s="26">
        <v>0</v>
      </c>
      <c r="Q13" s="26">
        <v>0</v>
      </c>
      <c r="R13" s="26">
        <v>0</v>
      </c>
      <c r="S13" s="26">
        <v>0</v>
      </c>
      <c r="T13" s="26">
        <v>0</v>
      </c>
      <c r="U13" s="26">
        <v>0</v>
      </c>
      <c r="V13" s="26">
        <v>0</v>
      </c>
      <c r="W13" s="26">
        <v>0</v>
      </c>
      <c r="X13" s="26">
        <v>0</v>
      </c>
      <c r="Y13" s="26">
        <v>0</v>
      </c>
      <c r="Z13" s="26">
        <v>0</v>
      </c>
      <c r="AA13" s="26">
        <v>0</v>
      </c>
      <c r="AB13" s="26">
        <v>0</v>
      </c>
      <c r="AC13" s="26">
        <v>0</v>
      </c>
      <c r="AD13" s="26">
        <v>0</v>
      </c>
      <c r="AE13" s="26">
        <v>0</v>
      </c>
      <c r="AF13" s="26">
        <v>0</v>
      </c>
      <c r="AG13" s="26">
        <v>0</v>
      </c>
      <c r="AH13" s="26">
        <v>0</v>
      </c>
      <c r="AI13" s="26">
        <v>0</v>
      </c>
      <c r="AJ13" s="26">
        <v>0</v>
      </c>
      <c r="AK13" s="26">
        <v>0</v>
      </c>
      <c r="AL13" s="26">
        <v>0</v>
      </c>
    </row>
    <row r="14" spans="1:52">
      <c r="B14" s="29" t="s">
        <v>26</v>
      </c>
      <c r="C14" s="30">
        <f>SUM(C15:C18)</f>
        <v>42.315155793350478</v>
      </c>
      <c r="D14" s="30">
        <f t="shared" ref="D14:AG14" si="4">SUM(D15:D18)</f>
        <v>42.496878043083946</v>
      </c>
      <c r="E14" s="30">
        <f t="shared" si="4"/>
        <v>42.998199265120171</v>
      </c>
      <c r="F14" s="30">
        <f t="shared" si="4"/>
        <v>43.423545763989864</v>
      </c>
      <c r="G14" s="30">
        <f t="shared" si="4"/>
        <v>45.947255675971142</v>
      </c>
      <c r="H14" s="30">
        <f t="shared" si="4"/>
        <v>45.680769029637361</v>
      </c>
      <c r="I14" s="30">
        <f t="shared" si="4"/>
        <v>47.094520824306713</v>
      </c>
      <c r="J14" s="30">
        <f t="shared" si="4"/>
        <v>46.906636631450368</v>
      </c>
      <c r="K14" s="30">
        <f t="shared" si="4"/>
        <v>45.493199683992003</v>
      </c>
      <c r="L14" s="30">
        <f t="shared" si="4"/>
        <v>46.598668721949693</v>
      </c>
      <c r="M14" s="30">
        <f t="shared" si="4"/>
        <v>43.700895630000076</v>
      </c>
      <c r="N14" s="30">
        <f t="shared" si="4"/>
        <v>41.867136566339568</v>
      </c>
      <c r="O14" s="30">
        <f t="shared" si="4"/>
        <v>42.43250055897748</v>
      </c>
      <c r="P14" s="30">
        <f t="shared" si="4"/>
        <v>41.494163625593714</v>
      </c>
      <c r="Q14" s="30">
        <f t="shared" si="4"/>
        <v>41.671471007735192</v>
      </c>
      <c r="R14" s="30">
        <f t="shared" si="4"/>
        <v>42.816280242525771</v>
      </c>
      <c r="S14" s="30">
        <f t="shared" si="4"/>
        <v>41.621053947430781</v>
      </c>
      <c r="T14" s="30">
        <f t="shared" si="4"/>
        <v>41.124395031494636</v>
      </c>
      <c r="U14" s="30">
        <f t="shared" si="4"/>
        <v>41.27581282780622</v>
      </c>
      <c r="V14" s="30">
        <f t="shared" si="4"/>
        <v>35.207490992560544</v>
      </c>
      <c r="W14" s="30">
        <f t="shared" si="4"/>
        <v>39.505438162367383</v>
      </c>
      <c r="X14" s="30">
        <f t="shared" si="4"/>
        <v>39.069840228246136</v>
      </c>
      <c r="Y14" s="30">
        <f t="shared" si="4"/>
        <v>38.672324137509726</v>
      </c>
      <c r="Z14" s="30">
        <f t="shared" si="4"/>
        <v>40.054601676969881</v>
      </c>
      <c r="AA14" s="30">
        <f t="shared" si="4"/>
        <v>40.56682007917393</v>
      </c>
      <c r="AB14" s="30">
        <f t="shared" si="4"/>
        <v>38.564177133816813</v>
      </c>
      <c r="AC14" s="30">
        <f t="shared" si="4"/>
        <v>37.956106791349953</v>
      </c>
      <c r="AD14" s="30">
        <f t="shared" si="4"/>
        <v>37.918679642425438</v>
      </c>
      <c r="AE14" s="30">
        <f t="shared" si="4"/>
        <v>37.896519123478448</v>
      </c>
      <c r="AF14" s="30">
        <f t="shared" si="4"/>
        <v>38.597978021064101</v>
      </c>
      <c r="AG14" s="30">
        <f t="shared" si="4"/>
        <v>37.835831486449926</v>
      </c>
      <c r="AH14" s="30">
        <f t="shared" ref="AH14:AL14" si="5">SUM(AH15:AH18)</f>
        <v>0</v>
      </c>
      <c r="AI14" s="30">
        <f t="shared" si="5"/>
        <v>0</v>
      </c>
      <c r="AJ14" s="30">
        <f t="shared" si="5"/>
        <v>0</v>
      </c>
      <c r="AK14" s="30">
        <f t="shared" si="5"/>
        <v>0</v>
      </c>
      <c r="AL14" s="30">
        <f t="shared" si="5"/>
        <v>0</v>
      </c>
    </row>
    <row r="15" spans="1:52">
      <c r="B15" s="23" t="s">
        <v>21</v>
      </c>
      <c r="C15" s="24">
        <v>7.3257580495141603</v>
      </c>
      <c r="D15" s="24">
        <v>8.2169173923450778</v>
      </c>
      <c r="E15" s="24">
        <v>7.0230923044655009</v>
      </c>
      <c r="F15" s="24">
        <v>7.4699732938490966</v>
      </c>
      <c r="G15" s="24">
        <v>8.1246719361759521</v>
      </c>
      <c r="H15" s="24">
        <v>7.3523087546124746</v>
      </c>
      <c r="I15" s="24">
        <v>7.4053031443771475</v>
      </c>
      <c r="J15" s="24">
        <v>7.6069076416170942</v>
      </c>
      <c r="K15" s="24">
        <v>7.9176261025674126</v>
      </c>
      <c r="L15" s="24">
        <v>7.7437811369021485</v>
      </c>
      <c r="M15" s="24">
        <v>7.1522189254922415</v>
      </c>
      <c r="N15" s="24">
        <v>6.9217897010633367</v>
      </c>
      <c r="O15" s="24">
        <v>6.4573397146834388</v>
      </c>
      <c r="P15" s="24">
        <v>6.6930916000204297</v>
      </c>
      <c r="Q15" s="24">
        <v>6.9872105248464216</v>
      </c>
      <c r="R15" s="24">
        <v>6.9287731484648933</v>
      </c>
      <c r="S15" s="24">
        <v>7.1159474391746906</v>
      </c>
      <c r="T15" s="24">
        <v>7.0090780255266107</v>
      </c>
      <c r="U15" s="24">
        <v>6.9007786243206883</v>
      </c>
      <c r="V15" s="24">
        <v>5.4147281131394127</v>
      </c>
      <c r="W15" s="24">
        <v>6.4622067311254785</v>
      </c>
      <c r="X15" s="24">
        <v>6.5914856431488129</v>
      </c>
      <c r="Y15" s="24">
        <v>6.7883390218447373</v>
      </c>
      <c r="Z15" s="24">
        <v>6.5485355260327474</v>
      </c>
      <c r="AA15" s="24">
        <v>6.081992521596348</v>
      </c>
      <c r="AB15" s="24">
        <v>5.5298213476578626</v>
      </c>
      <c r="AC15" s="24">
        <v>5.0586888491033699</v>
      </c>
      <c r="AD15" s="24">
        <v>5.219931306287342</v>
      </c>
      <c r="AE15" s="24">
        <v>5.068759704960601</v>
      </c>
      <c r="AF15" s="24">
        <v>4.8330618527160789</v>
      </c>
      <c r="AG15" s="24">
        <v>4.6604132286983262</v>
      </c>
      <c r="AH15" s="24">
        <v>0</v>
      </c>
      <c r="AI15" s="24">
        <v>0</v>
      </c>
      <c r="AJ15" s="24">
        <v>0</v>
      </c>
      <c r="AK15" s="24">
        <v>0</v>
      </c>
      <c r="AL15" s="24">
        <v>0</v>
      </c>
    </row>
    <row r="16" spans="1:52">
      <c r="B16" s="23" t="s">
        <v>22</v>
      </c>
      <c r="C16" s="24">
        <v>20.845348259687778</v>
      </c>
      <c r="D16" s="24">
        <v>18.814819775178609</v>
      </c>
      <c r="E16" s="24">
        <v>20.668035589885534</v>
      </c>
      <c r="F16" s="24">
        <v>20.314818272444377</v>
      </c>
      <c r="G16" s="24">
        <v>22.217292427212072</v>
      </c>
      <c r="H16" s="24">
        <v>21.901572476358414</v>
      </c>
      <c r="I16" s="24">
        <v>23.181720535437609</v>
      </c>
      <c r="J16" s="24">
        <v>22.985195168163372</v>
      </c>
      <c r="K16" s="24">
        <v>22.064440619037327</v>
      </c>
      <c r="L16" s="24">
        <v>23.295480283390301</v>
      </c>
      <c r="M16" s="24">
        <v>21.011506068215184</v>
      </c>
      <c r="N16" s="24">
        <v>20.553088582183936</v>
      </c>
      <c r="O16" s="24">
        <v>21.030169551894154</v>
      </c>
      <c r="P16" s="24">
        <v>20.789159140375837</v>
      </c>
      <c r="Q16" s="24">
        <v>21.085646941797549</v>
      </c>
      <c r="R16" s="24">
        <v>22.438583930095668</v>
      </c>
      <c r="S16" s="24">
        <v>21.819436176677623</v>
      </c>
      <c r="T16" s="24">
        <v>20.966597405231898</v>
      </c>
      <c r="U16" s="24">
        <v>20.690156864353117</v>
      </c>
      <c r="V16" s="24">
        <v>17.595316662681991</v>
      </c>
      <c r="W16" s="24">
        <v>18.29478216366925</v>
      </c>
      <c r="X16" s="24">
        <v>17.817860697078387</v>
      </c>
      <c r="Y16" s="24">
        <v>17.562191943260967</v>
      </c>
      <c r="Z16" s="24">
        <v>18.207574461797947</v>
      </c>
      <c r="AA16" s="24">
        <v>19.044850998469428</v>
      </c>
      <c r="AB16" s="24">
        <v>18.980081723111898</v>
      </c>
      <c r="AC16" s="24">
        <v>19.402644888028806</v>
      </c>
      <c r="AD16" s="24">
        <v>19.103612134603566</v>
      </c>
      <c r="AE16" s="24">
        <v>19.071778276744432</v>
      </c>
      <c r="AF16" s="24">
        <v>19.634328505028424</v>
      </c>
      <c r="AG16" s="24">
        <v>19.439233828008948</v>
      </c>
      <c r="AH16" s="24">
        <v>0</v>
      </c>
      <c r="AI16" s="24">
        <v>0</v>
      </c>
      <c r="AJ16" s="24">
        <v>0</v>
      </c>
      <c r="AK16" s="24">
        <v>0</v>
      </c>
      <c r="AL16" s="24">
        <v>0</v>
      </c>
    </row>
    <row r="17" spans="2:38">
      <c r="B17" s="23" t="s">
        <v>23</v>
      </c>
      <c r="C17" s="47">
        <v>14.144049484148539</v>
      </c>
      <c r="D17" s="47">
        <v>15.465140875560259</v>
      </c>
      <c r="E17" s="47">
        <v>15.307071370769139</v>
      </c>
      <c r="F17" s="47">
        <v>15.638754197696393</v>
      </c>
      <c r="G17" s="47">
        <v>15.60529131258312</v>
      </c>
      <c r="H17" s="47">
        <v>16.426887798666471</v>
      </c>
      <c r="I17" s="47">
        <v>16.507497144491953</v>
      </c>
      <c r="J17" s="47">
        <v>16.314533821669897</v>
      </c>
      <c r="K17" s="47">
        <v>15.511132962387265</v>
      </c>
      <c r="L17" s="47">
        <v>15.559407301657249</v>
      </c>
      <c r="M17" s="47">
        <v>15.537170636292648</v>
      </c>
      <c r="N17" s="47">
        <v>14.392258283092294</v>
      </c>
      <c r="O17" s="47">
        <v>14.944991292399889</v>
      </c>
      <c r="P17" s="47">
        <v>14.011912885197443</v>
      </c>
      <c r="Q17" s="47">
        <v>13.59861354109122</v>
      </c>
      <c r="R17" s="47">
        <v>13.448923163965212</v>
      </c>
      <c r="S17" s="47">
        <v>12.685670331578471</v>
      </c>
      <c r="T17" s="47">
        <v>13.148719600736127</v>
      </c>
      <c r="U17" s="47">
        <v>13.684877339132409</v>
      </c>
      <c r="V17" s="47">
        <v>12.197446216739138</v>
      </c>
      <c r="W17" s="47">
        <v>14.748449267572653</v>
      </c>
      <c r="X17" s="47">
        <v>14.660493888018934</v>
      </c>
      <c r="Y17" s="47">
        <v>14.321793172404021</v>
      </c>
      <c r="Z17" s="47">
        <v>15.29849168913919</v>
      </c>
      <c r="AA17" s="47">
        <v>15.439976559108151</v>
      </c>
      <c r="AB17" s="47">
        <v>14.054274063047052</v>
      </c>
      <c r="AC17" s="47">
        <v>13.494773054217781</v>
      </c>
      <c r="AD17" s="47">
        <v>13.59513620153453</v>
      </c>
      <c r="AE17" s="47">
        <v>13.755981141773416</v>
      </c>
      <c r="AF17" s="47">
        <v>14.130587663319599</v>
      </c>
      <c r="AG17" s="47">
        <v>13.73618442974265</v>
      </c>
      <c r="AH17" s="47">
        <v>0</v>
      </c>
      <c r="AI17" s="47">
        <v>0</v>
      </c>
      <c r="AJ17" s="47">
        <v>0</v>
      </c>
      <c r="AK17" s="47">
        <v>0</v>
      </c>
      <c r="AL17" s="47">
        <v>0</v>
      </c>
    </row>
    <row r="18" spans="2:38" ht="13.5" thickBot="1">
      <c r="B18" s="25" t="s">
        <v>24</v>
      </c>
      <c r="C18" s="26">
        <v>0</v>
      </c>
      <c r="D18" s="26">
        <v>0</v>
      </c>
      <c r="E18" s="26">
        <v>0</v>
      </c>
      <c r="F18" s="26">
        <v>0</v>
      </c>
      <c r="G18" s="26">
        <v>0</v>
      </c>
      <c r="H18" s="26">
        <v>0</v>
      </c>
      <c r="I18" s="26">
        <v>0</v>
      </c>
      <c r="J18" s="26">
        <v>0</v>
      </c>
      <c r="K18" s="26">
        <v>0</v>
      </c>
      <c r="L18" s="26">
        <v>0</v>
      </c>
      <c r="M18" s="26">
        <v>0</v>
      </c>
      <c r="N18" s="26">
        <v>0</v>
      </c>
      <c r="O18" s="26">
        <v>0</v>
      </c>
      <c r="P18" s="26">
        <v>0</v>
      </c>
      <c r="Q18" s="26">
        <v>0</v>
      </c>
      <c r="R18" s="26">
        <v>0</v>
      </c>
      <c r="S18" s="26">
        <v>0</v>
      </c>
      <c r="T18" s="26">
        <v>0</v>
      </c>
      <c r="U18" s="26">
        <v>0</v>
      </c>
      <c r="V18" s="26">
        <v>0</v>
      </c>
      <c r="W18" s="26">
        <v>0</v>
      </c>
      <c r="X18" s="26">
        <v>0</v>
      </c>
      <c r="Y18" s="26">
        <v>0</v>
      </c>
      <c r="Z18" s="26">
        <v>0</v>
      </c>
      <c r="AA18" s="26">
        <v>0</v>
      </c>
      <c r="AB18" s="26">
        <v>0</v>
      </c>
      <c r="AC18" s="26">
        <v>0</v>
      </c>
      <c r="AD18" s="26">
        <v>0</v>
      </c>
      <c r="AE18" s="26">
        <v>0</v>
      </c>
      <c r="AF18" s="26">
        <v>0</v>
      </c>
      <c r="AG18" s="26">
        <v>0</v>
      </c>
      <c r="AH18" s="26">
        <v>0</v>
      </c>
      <c r="AI18" s="26">
        <v>0</v>
      </c>
      <c r="AJ18" s="26">
        <v>0</v>
      </c>
      <c r="AK18" s="26">
        <v>0</v>
      </c>
      <c r="AL18" s="26">
        <v>0</v>
      </c>
    </row>
    <row r="19" spans="2:38">
      <c r="B19" s="31" t="s">
        <v>27</v>
      </c>
      <c r="C19" s="32">
        <f>SUM(C20:C23)</f>
        <v>53.937814439243368</v>
      </c>
      <c r="D19" s="32">
        <f t="shared" ref="D19:AG19" si="6">SUM(D20:D23)</f>
        <v>51.348969120421835</v>
      </c>
      <c r="E19" s="32">
        <f t="shared" si="6"/>
        <v>52.097332990326429</v>
      </c>
      <c r="F19" s="32">
        <f t="shared" si="6"/>
        <v>54.886136677149267</v>
      </c>
      <c r="G19" s="32">
        <f t="shared" si="6"/>
        <v>52.93507969049756</v>
      </c>
      <c r="H19" s="32">
        <f t="shared" si="6"/>
        <v>54.458902525121317</v>
      </c>
      <c r="I19" s="32">
        <f t="shared" si="6"/>
        <v>56.431420944529243</v>
      </c>
      <c r="J19" s="32">
        <f t="shared" si="6"/>
        <v>56.680388775347552</v>
      </c>
      <c r="K19" s="32">
        <f t="shared" si="6"/>
        <v>57.764047754409383</v>
      </c>
      <c r="L19" s="32">
        <f t="shared" si="6"/>
        <v>63.470442707065175</v>
      </c>
      <c r="M19" s="32">
        <f t="shared" si="6"/>
        <v>65.111364968091891</v>
      </c>
      <c r="N19" s="32">
        <f t="shared" si="6"/>
        <v>63.0056235601784</v>
      </c>
      <c r="O19" s="32">
        <f t="shared" si="6"/>
        <v>61.333795669311442</v>
      </c>
      <c r="P19" s="32">
        <f t="shared" si="6"/>
        <v>64.780479493276616</v>
      </c>
      <c r="Q19" s="32">
        <f t="shared" si="6"/>
        <v>66.913164920008342</v>
      </c>
      <c r="R19" s="32">
        <f t="shared" si="6"/>
        <v>72.466932902062766</v>
      </c>
      <c r="S19" s="32">
        <f t="shared" si="6"/>
        <v>69.941486090168411</v>
      </c>
      <c r="T19" s="32">
        <f t="shared" si="6"/>
        <v>69.664428014236037</v>
      </c>
      <c r="U19" s="32">
        <f t="shared" si="6"/>
        <v>65.377284930180849</v>
      </c>
      <c r="V19" s="32">
        <f t="shared" si="6"/>
        <v>64.259707847351791</v>
      </c>
      <c r="W19" s="32">
        <f t="shared" si="6"/>
        <v>63.377497784913103</v>
      </c>
      <c r="X19" s="32">
        <f t="shared" si="6"/>
        <v>62.694866827941439</v>
      </c>
      <c r="Y19" s="32">
        <f t="shared" si="6"/>
        <v>60.38092723344441</v>
      </c>
      <c r="Z19" s="32">
        <f t="shared" si="6"/>
        <v>61.492898793143929</v>
      </c>
      <c r="AA19" s="32">
        <f t="shared" si="6"/>
        <v>62.987304889354661</v>
      </c>
      <c r="AB19" s="32">
        <f t="shared" si="6"/>
        <v>65.594416265299728</v>
      </c>
      <c r="AC19" s="32">
        <f t="shared" si="6"/>
        <v>65.368490097040052</v>
      </c>
      <c r="AD19" s="32">
        <f t="shared" si="6"/>
        <v>65.706853893481878</v>
      </c>
      <c r="AE19" s="32">
        <f t="shared" si="6"/>
        <v>65.81053054464688</v>
      </c>
      <c r="AF19" s="32">
        <f t="shared" si="6"/>
        <v>63.988637964132941</v>
      </c>
      <c r="AG19" s="32">
        <f t="shared" si="6"/>
        <v>52.74810382170282</v>
      </c>
      <c r="AH19" s="32">
        <f t="shared" ref="AH19:AL19" si="7">SUM(AH20:AH23)</f>
        <v>0</v>
      </c>
      <c r="AI19" s="32">
        <f t="shared" si="7"/>
        <v>0</v>
      </c>
      <c r="AJ19" s="32">
        <f t="shared" si="7"/>
        <v>0</v>
      </c>
      <c r="AK19" s="32">
        <f t="shared" si="7"/>
        <v>0</v>
      </c>
      <c r="AL19" s="32">
        <f t="shared" si="7"/>
        <v>0</v>
      </c>
    </row>
    <row r="20" spans="2:38">
      <c r="B20" s="23" t="s">
        <v>21</v>
      </c>
      <c r="C20" s="24">
        <v>0</v>
      </c>
      <c r="D20" s="24">
        <v>0</v>
      </c>
      <c r="E20" s="24">
        <v>0</v>
      </c>
      <c r="F20" s="24">
        <v>0</v>
      </c>
      <c r="G20" s="24">
        <v>0</v>
      </c>
      <c r="H20" s="24">
        <v>0</v>
      </c>
      <c r="I20" s="24">
        <v>0</v>
      </c>
      <c r="J20" s="24">
        <v>0</v>
      </c>
      <c r="K20" s="24">
        <v>0</v>
      </c>
      <c r="L20" s="24">
        <v>0</v>
      </c>
      <c r="M20" s="24">
        <v>0</v>
      </c>
      <c r="N20" s="24">
        <v>0</v>
      </c>
      <c r="O20" s="24">
        <v>0</v>
      </c>
      <c r="P20" s="24">
        <v>0</v>
      </c>
      <c r="Q20" s="24">
        <v>0</v>
      </c>
      <c r="R20" s="24">
        <v>0</v>
      </c>
      <c r="S20" s="24">
        <v>0</v>
      </c>
      <c r="T20" s="24">
        <v>0</v>
      </c>
      <c r="U20" s="24">
        <v>0</v>
      </c>
      <c r="V20" s="24">
        <v>0</v>
      </c>
      <c r="W20" s="24">
        <v>0</v>
      </c>
      <c r="X20" s="24">
        <v>0</v>
      </c>
      <c r="Y20" s="24">
        <v>0</v>
      </c>
      <c r="Z20" s="24">
        <v>0</v>
      </c>
      <c r="AA20" s="24">
        <v>0</v>
      </c>
      <c r="AB20" s="24">
        <v>0</v>
      </c>
      <c r="AC20" s="24">
        <v>0</v>
      </c>
      <c r="AD20" s="24">
        <v>0</v>
      </c>
      <c r="AE20" s="24">
        <v>0</v>
      </c>
      <c r="AF20" s="24">
        <v>0</v>
      </c>
      <c r="AG20" s="24">
        <v>0</v>
      </c>
      <c r="AH20" s="24">
        <v>0</v>
      </c>
      <c r="AI20" s="24">
        <v>0</v>
      </c>
      <c r="AJ20" s="24">
        <v>0</v>
      </c>
      <c r="AK20" s="24">
        <v>0</v>
      </c>
      <c r="AL20" s="24">
        <v>0</v>
      </c>
    </row>
    <row r="21" spans="2:38">
      <c r="B21" s="23" t="s">
        <v>22</v>
      </c>
      <c r="C21" s="24">
        <v>53.281378357990924</v>
      </c>
      <c r="D21" s="24">
        <v>50.750771194006852</v>
      </c>
      <c r="E21" s="24">
        <v>51.48312941371411</v>
      </c>
      <c r="F21" s="24">
        <v>54.253209846262607</v>
      </c>
      <c r="G21" s="24">
        <v>52.182572700265403</v>
      </c>
      <c r="H21" s="24">
        <v>53.738565113438725</v>
      </c>
      <c r="I21" s="24">
        <v>55.646312048962386</v>
      </c>
      <c r="J21" s="24">
        <v>55.882230096786813</v>
      </c>
      <c r="K21" s="24">
        <v>57.049575940683127</v>
      </c>
      <c r="L21" s="24">
        <v>62.842607293621548</v>
      </c>
      <c r="M21" s="24">
        <v>64.378072695445709</v>
      </c>
      <c r="N21" s="24">
        <v>62.402483268895224</v>
      </c>
      <c r="O21" s="24">
        <v>60.60829363211068</v>
      </c>
      <c r="P21" s="24">
        <v>64.197912251049956</v>
      </c>
      <c r="Q21" s="24">
        <v>66.290276497593069</v>
      </c>
      <c r="R21" s="24">
        <v>71.86580749702739</v>
      </c>
      <c r="S21" s="24">
        <v>69.341527198223872</v>
      </c>
      <c r="T21" s="24">
        <v>69.037600277161346</v>
      </c>
      <c r="U21" s="24">
        <v>64.650962410573612</v>
      </c>
      <c r="V21" s="24">
        <v>62.923014726331346</v>
      </c>
      <c r="W21" s="24">
        <v>62.29923643116512</v>
      </c>
      <c r="X21" s="24">
        <v>61.509362540307862</v>
      </c>
      <c r="Y21" s="24">
        <v>59.039571089464005</v>
      </c>
      <c r="Z21" s="24">
        <v>60.025828071174203</v>
      </c>
      <c r="AA21" s="24">
        <v>61.303564779803274</v>
      </c>
      <c r="AB21" s="24">
        <v>64.125261741668439</v>
      </c>
      <c r="AC21" s="24">
        <v>64.055061190662386</v>
      </c>
      <c r="AD21" s="24">
        <v>64.47378471342148</v>
      </c>
      <c r="AE21" s="24">
        <v>64.375548800335025</v>
      </c>
      <c r="AF21" s="24">
        <v>62.417452641991922</v>
      </c>
      <c r="AG21" s="24">
        <v>51.587066956674271</v>
      </c>
      <c r="AH21" s="24">
        <v>0</v>
      </c>
      <c r="AI21" s="24">
        <v>0</v>
      </c>
      <c r="AJ21" s="24">
        <v>0</v>
      </c>
      <c r="AK21" s="24">
        <v>0</v>
      </c>
      <c r="AL21" s="24">
        <v>0</v>
      </c>
    </row>
    <row r="22" spans="2:38">
      <c r="B22" s="23" t="s">
        <v>23</v>
      </c>
      <c r="C22" s="47">
        <v>0.65643608125244246</v>
      </c>
      <c r="D22" s="47">
        <v>0.59819792641498237</v>
      </c>
      <c r="E22" s="47">
        <v>0.61420357661231773</v>
      </c>
      <c r="F22" s="47">
        <v>0.63292683088665869</v>
      </c>
      <c r="G22" s="47">
        <v>0.75250699023215606</v>
      </c>
      <c r="H22" s="47">
        <v>0.72033741168259391</v>
      </c>
      <c r="I22" s="47">
        <v>0.7851088955668597</v>
      </c>
      <c r="J22" s="47">
        <v>0.79815867856074141</v>
      </c>
      <c r="K22" s="47">
        <v>0.71447181372625646</v>
      </c>
      <c r="L22" s="47">
        <v>0.62783541344362859</v>
      </c>
      <c r="M22" s="47">
        <v>0.73329227264618335</v>
      </c>
      <c r="N22" s="47">
        <v>0.60314029128317193</v>
      </c>
      <c r="O22" s="47">
        <v>0.72550203720076356</v>
      </c>
      <c r="P22" s="47">
        <v>0.58256724222665579</v>
      </c>
      <c r="Q22" s="47">
        <v>0.62288842241527476</v>
      </c>
      <c r="R22" s="47">
        <v>0.60112540503536871</v>
      </c>
      <c r="S22" s="47">
        <v>0.59995889194453533</v>
      </c>
      <c r="T22" s="47">
        <v>0.62682773707469563</v>
      </c>
      <c r="U22" s="47">
        <v>0.72632251960723904</v>
      </c>
      <c r="V22" s="47">
        <v>1.3366931210204522</v>
      </c>
      <c r="W22" s="47">
        <v>1.0782613537479868</v>
      </c>
      <c r="X22" s="47">
        <v>1.1855042876335764</v>
      </c>
      <c r="Y22" s="47">
        <v>1.3413561439804023</v>
      </c>
      <c r="Z22" s="47">
        <v>1.4670707219697294</v>
      </c>
      <c r="AA22" s="47">
        <v>1.6837401095513855</v>
      </c>
      <c r="AB22" s="47">
        <v>1.4691545236312895</v>
      </c>
      <c r="AC22" s="47">
        <v>1.313428906377665</v>
      </c>
      <c r="AD22" s="47">
        <v>1.2330691800603992</v>
      </c>
      <c r="AE22" s="47">
        <v>1.4349817443118555</v>
      </c>
      <c r="AF22" s="47">
        <v>1.5711853221410166</v>
      </c>
      <c r="AG22" s="47">
        <v>1.1610368650285521</v>
      </c>
      <c r="AH22" s="47">
        <v>0</v>
      </c>
      <c r="AI22" s="47">
        <v>0</v>
      </c>
      <c r="AJ22" s="47">
        <v>0</v>
      </c>
      <c r="AK22" s="47">
        <v>0</v>
      </c>
      <c r="AL22" s="47">
        <v>0</v>
      </c>
    </row>
    <row r="23" spans="2:38" ht="13.5" thickBot="1">
      <c r="B23" s="25" t="s">
        <v>24</v>
      </c>
      <c r="C23" s="26">
        <v>0</v>
      </c>
      <c r="D23" s="26">
        <v>0</v>
      </c>
      <c r="E23" s="26">
        <v>0</v>
      </c>
      <c r="F23" s="26">
        <v>0</v>
      </c>
      <c r="G23" s="26">
        <v>0</v>
      </c>
      <c r="H23" s="26">
        <v>0</v>
      </c>
      <c r="I23" s="26">
        <v>0</v>
      </c>
      <c r="J23" s="26">
        <v>0</v>
      </c>
      <c r="K23" s="26">
        <v>0</v>
      </c>
      <c r="L23" s="26">
        <v>0</v>
      </c>
      <c r="M23" s="26">
        <v>0</v>
      </c>
      <c r="N23" s="26">
        <v>0</v>
      </c>
      <c r="O23" s="26">
        <v>0</v>
      </c>
      <c r="P23" s="26">
        <v>0</v>
      </c>
      <c r="Q23" s="26">
        <v>0</v>
      </c>
      <c r="R23" s="26">
        <v>0</v>
      </c>
      <c r="S23" s="26">
        <v>0</v>
      </c>
      <c r="T23" s="26">
        <v>0</v>
      </c>
      <c r="U23" s="26">
        <v>0</v>
      </c>
      <c r="V23" s="26">
        <v>0</v>
      </c>
      <c r="W23" s="26">
        <v>0</v>
      </c>
      <c r="X23" s="26">
        <v>0</v>
      </c>
      <c r="Y23" s="26">
        <v>0</v>
      </c>
      <c r="Z23" s="26">
        <v>0</v>
      </c>
      <c r="AA23" s="26">
        <v>0</v>
      </c>
      <c r="AB23" s="26">
        <v>0</v>
      </c>
      <c r="AC23" s="26">
        <v>0</v>
      </c>
      <c r="AD23" s="26">
        <v>0</v>
      </c>
      <c r="AE23" s="26">
        <v>0</v>
      </c>
      <c r="AF23" s="26">
        <v>0</v>
      </c>
      <c r="AG23" s="26">
        <v>0</v>
      </c>
      <c r="AH23" s="26">
        <v>0</v>
      </c>
      <c r="AI23" s="26">
        <v>0</v>
      </c>
      <c r="AJ23" s="26">
        <v>0</v>
      </c>
      <c r="AK23" s="26">
        <v>0</v>
      </c>
      <c r="AL23" s="26">
        <v>0</v>
      </c>
    </row>
    <row r="24" spans="2:38">
      <c r="B24" s="33" t="s">
        <v>28</v>
      </c>
      <c r="C24" s="34">
        <f>SUM(C25:C28)</f>
        <v>57.730111067338278</v>
      </c>
      <c r="D24" s="34">
        <f t="shared" ref="D24:AG24" si="8">SUM(D25:D28)</f>
        <v>58.776802190224416</v>
      </c>
      <c r="E24" s="34">
        <f t="shared" si="8"/>
        <v>53.504014031175323</v>
      </c>
      <c r="F24" s="34">
        <f t="shared" si="8"/>
        <v>64.32527928332641</v>
      </c>
      <c r="G24" s="34">
        <f t="shared" si="8"/>
        <v>66.694933756113315</v>
      </c>
      <c r="H24" s="34">
        <f t="shared" si="8"/>
        <v>67.413081432907333</v>
      </c>
      <c r="I24" s="34">
        <f t="shared" si="8"/>
        <v>75.102695673377326</v>
      </c>
      <c r="J24" s="34">
        <f t="shared" si="8"/>
        <v>80.158650037485756</v>
      </c>
      <c r="K24" s="34">
        <f t="shared" si="8"/>
        <v>79.142897687801792</v>
      </c>
      <c r="L24" s="34">
        <f t="shared" si="8"/>
        <v>80.08430693492069</v>
      </c>
      <c r="M24" s="34">
        <f t="shared" si="8"/>
        <v>86.482490206636115</v>
      </c>
      <c r="N24" s="34">
        <f t="shared" si="8"/>
        <v>86.567319372608907</v>
      </c>
      <c r="O24" s="34">
        <f t="shared" si="8"/>
        <v>89.218421579776034</v>
      </c>
      <c r="P24" s="34">
        <f t="shared" si="8"/>
        <v>89.398252738720032</v>
      </c>
      <c r="Q24" s="34">
        <f t="shared" si="8"/>
        <v>95.202651409071223</v>
      </c>
      <c r="R24" s="34">
        <f t="shared" si="8"/>
        <v>94.490092691006666</v>
      </c>
      <c r="S24" s="34">
        <f t="shared" si="8"/>
        <v>92.848055140410509</v>
      </c>
      <c r="T24" s="34">
        <f t="shared" si="8"/>
        <v>97.864434835483053</v>
      </c>
      <c r="U24" s="34">
        <f t="shared" si="8"/>
        <v>97.778513561827808</v>
      </c>
      <c r="V24" s="34">
        <f t="shared" si="8"/>
        <v>91.385039799970656</v>
      </c>
      <c r="W24" s="34">
        <f t="shared" si="8"/>
        <v>95.128501721680379</v>
      </c>
      <c r="X24" s="34">
        <f t="shared" si="8"/>
        <v>92.25755410292625</v>
      </c>
      <c r="Y24" s="34">
        <f t="shared" si="8"/>
        <v>86.349693523507355</v>
      </c>
      <c r="Z24" s="34">
        <f t="shared" si="8"/>
        <v>90.041477801565932</v>
      </c>
      <c r="AA24" s="34">
        <f t="shared" si="8"/>
        <v>88.833251097251278</v>
      </c>
      <c r="AB24" s="34">
        <f t="shared" si="8"/>
        <v>77.37223926607966</v>
      </c>
      <c r="AC24" s="34">
        <f t="shared" si="8"/>
        <v>67.175186873173331</v>
      </c>
      <c r="AD24" s="34">
        <f t="shared" si="8"/>
        <v>65.187663746273415</v>
      </c>
      <c r="AE24" s="34">
        <f t="shared" si="8"/>
        <v>67.100576181935139</v>
      </c>
      <c r="AF24" s="34">
        <f t="shared" si="8"/>
        <v>58.192254427261602</v>
      </c>
      <c r="AG24" s="34">
        <f t="shared" si="8"/>
        <v>42.602146259352736</v>
      </c>
      <c r="AH24" s="34">
        <f t="shared" ref="AH24:AL24" si="9">SUM(AH25:AH28)</f>
        <v>0</v>
      </c>
      <c r="AI24" s="34">
        <f t="shared" si="9"/>
        <v>0</v>
      </c>
      <c r="AJ24" s="34">
        <f t="shared" si="9"/>
        <v>0</v>
      </c>
      <c r="AK24" s="34">
        <f t="shared" si="9"/>
        <v>0</v>
      </c>
      <c r="AL24" s="34">
        <f t="shared" si="9"/>
        <v>0</v>
      </c>
    </row>
    <row r="25" spans="2:38">
      <c r="B25" s="23" t="s">
        <v>21</v>
      </c>
      <c r="C25" s="24">
        <v>56.253206507433006</v>
      </c>
      <c r="D25" s="24">
        <v>56.657280772848779</v>
      </c>
      <c r="E25" s="24">
        <v>51.937324649131632</v>
      </c>
      <c r="F25" s="24">
        <v>62.471287192374511</v>
      </c>
      <c r="G25" s="24">
        <v>63.609065484663354</v>
      </c>
      <c r="H25" s="24">
        <v>64.349527188425157</v>
      </c>
      <c r="I25" s="24">
        <v>72.76343763132067</v>
      </c>
      <c r="J25" s="24">
        <v>77.228502644007364</v>
      </c>
      <c r="K25" s="24">
        <v>75.268904527842722</v>
      </c>
      <c r="L25" s="24">
        <v>76.788954855344997</v>
      </c>
      <c r="M25" s="24">
        <v>83.395970790485961</v>
      </c>
      <c r="N25" s="24">
        <v>82.642462611271299</v>
      </c>
      <c r="O25" s="24">
        <v>84.618132508329566</v>
      </c>
      <c r="P25" s="24">
        <v>86.62650010520592</v>
      </c>
      <c r="Q25" s="24">
        <v>92.806675869376804</v>
      </c>
      <c r="R25" s="24">
        <v>91.00572194169338</v>
      </c>
      <c r="S25" s="24">
        <v>90.39931287429286</v>
      </c>
      <c r="T25" s="24">
        <v>94.353375812951185</v>
      </c>
      <c r="U25" s="24">
        <v>95.792265892028141</v>
      </c>
      <c r="V25" s="24">
        <v>89.491343758338317</v>
      </c>
      <c r="W25" s="24">
        <v>92.568243694650718</v>
      </c>
      <c r="X25" s="24">
        <v>89.619827420154195</v>
      </c>
      <c r="Y25" s="24">
        <v>81.497290377499965</v>
      </c>
      <c r="Z25" s="24">
        <v>87.172861640141761</v>
      </c>
      <c r="AA25" s="24">
        <v>86.476001641976126</v>
      </c>
      <c r="AB25" s="24">
        <v>72.801381977234541</v>
      </c>
      <c r="AC25" s="24">
        <v>59.24264385987874</v>
      </c>
      <c r="AD25" s="24">
        <v>57.445702540195398</v>
      </c>
      <c r="AE25" s="24">
        <v>59.496135262076017</v>
      </c>
      <c r="AF25" s="24">
        <v>48.815218922697518</v>
      </c>
      <c r="AG25" s="24">
        <v>29.879288979551337</v>
      </c>
      <c r="AH25" s="24">
        <v>0</v>
      </c>
      <c r="AI25" s="24">
        <v>0</v>
      </c>
      <c r="AJ25" s="24">
        <v>0</v>
      </c>
      <c r="AK25" s="24">
        <v>0</v>
      </c>
      <c r="AL25" s="24">
        <v>0</v>
      </c>
    </row>
    <row r="26" spans="2:38">
      <c r="B26" s="23" t="s">
        <v>22</v>
      </c>
      <c r="C26" s="24">
        <v>0.97727522405739098</v>
      </c>
      <c r="D26" s="24">
        <v>1.416915772785982</v>
      </c>
      <c r="E26" s="24">
        <v>1.0573175143397509</v>
      </c>
      <c r="F26" s="24">
        <v>0.98229899622647987</v>
      </c>
      <c r="G26" s="24">
        <v>1.206562658795064</v>
      </c>
      <c r="H26" s="24">
        <v>0.94747357933608867</v>
      </c>
      <c r="I26" s="24">
        <v>0.94303735750801598</v>
      </c>
      <c r="J26" s="24">
        <v>0.52134842524191105</v>
      </c>
      <c r="K26" s="24">
        <v>0.81957846830598546</v>
      </c>
      <c r="L26" s="24">
        <v>0.38178844780181326</v>
      </c>
      <c r="M26" s="24">
        <v>0.53331457769417201</v>
      </c>
      <c r="N26" s="24">
        <v>1.3882740453204072</v>
      </c>
      <c r="O26" s="24">
        <v>0.20487186450206529</v>
      </c>
      <c r="P26" s="24">
        <v>1.040806276684292</v>
      </c>
      <c r="Q26" s="24">
        <v>0.73117334580423865</v>
      </c>
      <c r="R26" s="24">
        <v>0.32428678624564317</v>
      </c>
      <c r="S26" s="24">
        <v>0.13215331436715286</v>
      </c>
      <c r="T26" s="24">
        <v>0.11747018995731842</v>
      </c>
      <c r="U26" s="24">
        <v>0.11700800542894994</v>
      </c>
      <c r="V26" s="24">
        <v>9.8085057651190397E-2</v>
      </c>
      <c r="W26" s="24">
        <v>8.7773741279067355E-2</v>
      </c>
      <c r="X26" s="24">
        <v>6.8665033071557996E-2</v>
      </c>
      <c r="Y26" s="24">
        <v>5.8357862880471005E-2</v>
      </c>
      <c r="Z26" s="24">
        <v>5.7941590478194492E-2</v>
      </c>
      <c r="AA26" s="24">
        <v>7.1666551090827008E-2</v>
      </c>
      <c r="AB26" s="24">
        <v>4.5607369325161885E-2</v>
      </c>
      <c r="AC26" s="24">
        <v>5.7155137546734743E-2</v>
      </c>
      <c r="AD26" s="24">
        <v>4.4091004212411133E-2</v>
      </c>
      <c r="AE26" s="24">
        <v>4.5236751634095157E-2</v>
      </c>
      <c r="AF26" s="24">
        <v>4.1232186735339196E-2</v>
      </c>
      <c r="AG26" s="24">
        <v>3.2251294744305159E-2</v>
      </c>
      <c r="AH26" s="24">
        <v>0</v>
      </c>
      <c r="AI26" s="24">
        <v>0</v>
      </c>
      <c r="AJ26" s="24">
        <v>0</v>
      </c>
      <c r="AK26" s="24">
        <v>0</v>
      </c>
      <c r="AL26" s="24">
        <v>0</v>
      </c>
    </row>
    <row r="27" spans="2:38">
      <c r="B27" s="23" t="s">
        <v>23</v>
      </c>
      <c r="C27" s="47">
        <v>0.49962933584787778</v>
      </c>
      <c r="D27" s="47">
        <v>0.70260564458965369</v>
      </c>
      <c r="E27" s="47">
        <v>0.50937186770394227</v>
      </c>
      <c r="F27" s="47">
        <v>0.87169309472541656</v>
      </c>
      <c r="G27" s="47">
        <v>1.8793056126548975</v>
      </c>
      <c r="H27" s="47">
        <v>2.1160806651460837</v>
      </c>
      <c r="I27" s="47">
        <v>1.3962206845486318</v>
      </c>
      <c r="J27" s="47">
        <v>2.4087989682364848</v>
      </c>
      <c r="K27" s="47">
        <v>3.0544146916530748</v>
      </c>
      <c r="L27" s="47">
        <v>2.9135636317738798</v>
      </c>
      <c r="M27" s="47">
        <v>2.5532048384559838</v>
      </c>
      <c r="N27" s="47">
        <v>2.5365827160172008</v>
      </c>
      <c r="O27" s="47">
        <v>4.3954172069444066</v>
      </c>
      <c r="P27" s="47">
        <v>1.7309463568298153</v>
      </c>
      <c r="Q27" s="47">
        <v>1.6648021938901867</v>
      </c>
      <c r="R27" s="47">
        <v>3.1600839630676463</v>
      </c>
      <c r="S27" s="47">
        <v>2.3165889517504858</v>
      </c>
      <c r="T27" s="47">
        <v>3.3935888325745456</v>
      </c>
      <c r="U27" s="47">
        <v>1.869239664370729</v>
      </c>
      <c r="V27" s="47">
        <v>1.7956109839811496</v>
      </c>
      <c r="W27" s="47">
        <v>2.4724842857506029</v>
      </c>
      <c r="X27" s="47">
        <v>2.5690616497004957</v>
      </c>
      <c r="Y27" s="47">
        <v>4.7940452831269171</v>
      </c>
      <c r="Z27" s="47">
        <v>2.8106745709459831</v>
      </c>
      <c r="AA27" s="47">
        <v>2.2855829041843232</v>
      </c>
      <c r="AB27" s="47">
        <v>4.525249919519954</v>
      </c>
      <c r="AC27" s="47">
        <v>7.8753878757478599</v>
      </c>
      <c r="AD27" s="47">
        <v>7.6978702018656033</v>
      </c>
      <c r="AE27" s="47">
        <v>7.5592041682250244</v>
      </c>
      <c r="AF27" s="47">
        <v>9.335803317828745</v>
      </c>
      <c r="AG27" s="47">
        <v>12.690605985057097</v>
      </c>
      <c r="AH27" s="47">
        <v>0</v>
      </c>
      <c r="AI27" s="47">
        <v>0</v>
      </c>
      <c r="AJ27" s="47">
        <v>0</v>
      </c>
      <c r="AK27" s="47">
        <v>0</v>
      </c>
      <c r="AL27" s="47">
        <v>0</v>
      </c>
    </row>
    <row r="28" spans="2:38" ht="13.5" thickBot="1">
      <c r="B28" s="25" t="s">
        <v>24</v>
      </c>
      <c r="C28" s="26">
        <v>0</v>
      </c>
      <c r="D28" s="26">
        <v>0</v>
      </c>
      <c r="E28" s="26">
        <v>0</v>
      </c>
      <c r="F28" s="26">
        <v>0</v>
      </c>
      <c r="G28" s="26">
        <v>0</v>
      </c>
      <c r="H28" s="26">
        <v>0</v>
      </c>
      <c r="I28" s="26">
        <v>0</v>
      </c>
      <c r="J28" s="26">
        <v>0</v>
      </c>
      <c r="K28" s="26">
        <v>0</v>
      </c>
      <c r="L28" s="26">
        <v>0</v>
      </c>
      <c r="M28" s="26">
        <v>0</v>
      </c>
      <c r="N28" s="26">
        <v>0</v>
      </c>
      <c r="O28" s="26">
        <v>0</v>
      </c>
      <c r="P28" s="26">
        <v>0</v>
      </c>
      <c r="Q28" s="26">
        <v>0</v>
      </c>
      <c r="R28" s="26">
        <v>0</v>
      </c>
      <c r="S28" s="26">
        <v>0</v>
      </c>
      <c r="T28" s="26">
        <v>0</v>
      </c>
      <c r="U28" s="26">
        <v>0</v>
      </c>
      <c r="V28" s="26">
        <v>0</v>
      </c>
      <c r="W28" s="26">
        <v>0</v>
      </c>
      <c r="X28" s="26">
        <v>0</v>
      </c>
      <c r="Y28" s="26">
        <v>0</v>
      </c>
      <c r="Z28" s="26">
        <v>0</v>
      </c>
      <c r="AA28" s="26">
        <v>0</v>
      </c>
      <c r="AB28" s="26">
        <v>0</v>
      </c>
      <c r="AC28" s="26">
        <v>0</v>
      </c>
      <c r="AD28" s="26">
        <v>0</v>
      </c>
      <c r="AE28" s="26">
        <v>0</v>
      </c>
      <c r="AF28" s="26">
        <v>0</v>
      </c>
      <c r="AG28" s="26">
        <v>0</v>
      </c>
      <c r="AH28" s="26">
        <v>0</v>
      </c>
      <c r="AI28" s="26">
        <v>0</v>
      </c>
      <c r="AJ28" s="26">
        <v>0</v>
      </c>
      <c r="AK28" s="26">
        <v>0</v>
      </c>
      <c r="AL28" s="26">
        <v>0</v>
      </c>
    </row>
    <row r="29" spans="2:38">
      <c r="B29" s="35" t="s">
        <v>29</v>
      </c>
      <c r="C29" s="36">
        <f>C30</f>
        <v>0.55109940484991871</v>
      </c>
      <c r="D29" s="36">
        <f t="shared" ref="D29:L29" si="10">D30</f>
        <v>0.8601127328461593</v>
      </c>
      <c r="E29" s="36">
        <f t="shared" si="10"/>
        <v>0.94555947767132142</v>
      </c>
      <c r="F29" s="36">
        <f t="shared" si="10"/>
        <v>1.0866615555681607</v>
      </c>
      <c r="G29" s="36">
        <f t="shared" si="10"/>
        <v>1.1219139710073065</v>
      </c>
      <c r="H29" s="36">
        <f t="shared" si="10"/>
        <v>1.1407910917520001</v>
      </c>
      <c r="I29" s="36">
        <f t="shared" si="10"/>
        <v>1.258465289891227</v>
      </c>
      <c r="J29" s="36">
        <f t="shared" si="10"/>
        <v>1.3457100046427064</v>
      </c>
      <c r="K29" s="36">
        <f t="shared" si="10"/>
        <v>1.4189946039168111</v>
      </c>
      <c r="L29" s="36">
        <f t="shared" si="10"/>
        <v>1.884995521646575</v>
      </c>
      <c r="M29" s="36">
        <f t="shared" ref="M29:AL29" si="11">M30</f>
        <v>2.4365890155916312</v>
      </c>
      <c r="N29" s="36">
        <f t="shared" si="11"/>
        <v>1.9347075341306537</v>
      </c>
      <c r="O29" s="36">
        <f t="shared" si="11"/>
        <v>1.4534998497192824</v>
      </c>
      <c r="P29" s="36">
        <f t="shared" si="11"/>
        <v>1.5304438350522145</v>
      </c>
      <c r="Q29" s="36">
        <f t="shared" si="11"/>
        <v>2.6279296459949011</v>
      </c>
      <c r="R29" s="36">
        <f t="shared" si="11"/>
        <v>4.4780779570944471</v>
      </c>
      <c r="S29" s="36">
        <f t="shared" si="11"/>
        <v>3.3526095031984826</v>
      </c>
      <c r="T29" s="36">
        <f t="shared" si="11"/>
        <v>3.4715571483638321</v>
      </c>
      <c r="U29" s="36">
        <f t="shared" si="11"/>
        <v>3.3426762928189024</v>
      </c>
      <c r="V29" s="36">
        <f t="shared" si="11"/>
        <v>3.0357949706759007</v>
      </c>
      <c r="W29" s="36">
        <f t="shared" si="11"/>
        <v>3.638704485437243</v>
      </c>
      <c r="X29" s="36">
        <f t="shared" si="11"/>
        <v>3.7895567698923287</v>
      </c>
      <c r="Y29" s="36">
        <f t="shared" si="11"/>
        <v>3.6779065194207803</v>
      </c>
      <c r="Z29" s="36">
        <f t="shared" si="11"/>
        <v>3.6842367049374185</v>
      </c>
      <c r="AA29" s="36">
        <f t="shared" si="11"/>
        <v>3.9488012172501983</v>
      </c>
      <c r="AB29" s="36">
        <f t="shared" si="11"/>
        <v>4.1735785140546167</v>
      </c>
      <c r="AC29" s="36">
        <f t="shared" si="11"/>
        <v>4.251188448740769</v>
      </c>
      <c r="AD29" s="36">
        <f t="shared" si="11"/>
        <v>4.3080628839662172</v>
      </c>
      <c r="AE29" s="36">
        <f t="shared" si="11"/>
        <v>4.296575118898633</v>
      </c>
      <c r="AF29" s="36">
        <f t="shared" si="11"/>
        <v>3.97173239262378</v>
      </c>
      <c r="AG29" s="36">
        <f t="shared" si="11"/>
        <v>2.0012278012351081</v>
      </c>
      <c r="AH29" s="36">
        <f t="shared" si="11"/>
        <v>0</v>
      </c>
      <c r="AI29" s="36">
        <f t="shared" si="11"/>
        <v>0</v>
      </c>
      <c r="AJ29" s="36">
        <f t="shared" si="11"/>
        <v>0</v>
      </c>
      <c r="AK29" s="36">
        <f t="shared" si="11"/>
        <v>0</v>
      </c>
      <c r="AL29" s="36">
        <f t="shared" si="11"/>
        <v>0</v>
      </c>
    </row>
    <row r="30" spans="2:38" ht="13.5" thickBot="1">
      <c r="B30" s="25" t="s">
        <v>22</v>
      </c>
      <c r="C30" s="26">
        <v>0.55109940484991871</v>
      </c>
      <c r="D30" s="26">
        <v>0.8601127328461593</v>
      </c>
      <c r="E30" s="26">
        <v>0.94555947767132142</v>
      </c>
      <c r="F30" s="26">
        <v>1.0866615555681607</v>
      </c>
      <c r="G30" s="26">
        <v>1.1219139710073065</v>
      </c>
      <c r="H30" s="26">
        <v>1.1407910917520001</v>
      </c>
      <c r="I30" s="26">
        <v>1.258465289891227</v>
      </c>
      <c r="J30" s="26">
        <v>1.3457100046427064</v>
      </c>
      <c r="K30" s="26">
        <v>1.4189946039168111</v>
      </c>
      <c r="L30" s="26">
        <v>1.884995521646575</v>
      </c>
      <c r="M30" s="26">
        <v>2.4365890155916312</v>
      </c>
      <c r="N30" s="26">
        <v>1.9347075341306537</v>
      </c>
      <c r="O30" s="26">
        <v>1.4534998497192824</v>
      </c>
      <c r="P30" s="26">
        <v>1.5304438350522145</v>
      </c>
      <c r="Q30" s="26">
        <v>2.6279296459949011</v>
      </c>
      <c r="R30" s="26">
        <v>4.4780779570944471</v>
      </c>
      <c r="S30" s="26">
        <v>3.3526095031984826</v>
      </c>
      <c r="T30" s="26">
        <v>3.4715571483638321</v>
      </c>
      <c r="U30" s="26">
        <v>3.3426762928189024</v>
      </c>
      <c r="V30" s="26">
        <v>3.0357949706759007</v>
      </c>
      <c r="W30" s="26">
        <v>3.638704485437243</v>
      </c>
      <c r="X30" s="26">
        <v>3.7895567698923287</v>
      </c>
      <c r="Y30" s="26">
        <v>3.6779065194207803</v>
      </c>
      <c r="Z30" s="26">
        <v>3.6842367049374185</v>
      </c>
      <c r="AA30" s="26">
        <v>3.9488012172501983</v>
      </c>
      <c r="AB30" s="26">
        <v>4.1735785140546167</v>
      </c>
      <c r="AC30" s="26">
        <v>4.251188448740769</v>
      </c>
      <c r="AD30" s="26">
        <v>4.3080628839662172</v>
      </c>
      <c r="AE30" s="26">
        <v>4.296575118898633</v>
      </c>
      <c r="AF30" s="26">
        <v>3.97173239262378</v>
      </c>
      <c r="AG30" s="26">
        <v>2.0012278012351081</v>
      </c>
      <c r="AH30" s="26">
        <v>0</v>
      </c>
      <c r="AI30" s="26">
        <v>0</v>
      </c>
      <c r="AJ30" s="26">
        <v>0</v>
      </c>
      <c r="AK30" s="26">
        <v>0</v>
      </c>
      <c r="AL30" s="26">
        <v>0</v>
      </c>
    </row>
    <row r="31" spans="2:38">
      <c r="B31" s="145" t="s">
        <v>30</v>
      </c>
      <c r="C31" s="153">
        <f>SUM(C32:C36)</f>
        <v>192.00128729933954</v>
      </c>
      <c r="D31" s="153">
        <f>SUM(D32:D36)</f>
        <v>191.43093412637785</v>
      </c>
      <c r="E31" s="153">
        <f t="shared" ref="E31:AF31" si="12">SUM(E32:E36)</f>
        <v>187.93123456511</v>
      </c>
      <c r="F31" s="153">
        <f t="shared" si="12"/>
        <v>203.43038709246647</v>
      </c>
      <c r="G31" s="153">
        <f t="shared" si="12"/>
        <v>204.86631679901208</v>
      </c>
      <c r="H31" s="153">
        <f t="shared" si="12"/>
        <v>208.53515903901743</v>
      </c>
      <c r="I31" s="153">
        <f t="shared" si="12"/>
        <v>222.75236282629331</v>
      </c>
      <c r="J31" s="153">
        <f t="shared" si="12"/>
        <v>225.30127628504704</v>
      </c>
      <c r="K31" s="153">
        <f t="shared" si="12"/>
        <v>217.01625196922168</v>
      </c>
      <c r="L31" s="153">
        <f t="shared" si="12"/>
        <v>227.92539211045872</v>
      </c>
      <c r="M31" s="153">
        <f t="shared" si="12"/>
        <v>234.6341139895847</v>
      </c>
      <c r="N31" s="153">
        <f t="shared" si="12"/>
        <v>227.55289721865566</v>
      </c>
      <c r="O31" s="153">
        <f t="shared" si="12"/>
        <v>231.65041771571984</v>
      </c>
      <c r="P31" s="153">
        <f t="shared" si="12"/>
        <v>235.38947204236041</v>
      </c>
      <c r="Q31" s="153">
        <f t="shared" si="12"/>
        <v>241.11804559717348</v>
      </c>
      <c r="R31" s="153">
        <f t="shared" si="12"/>
        <v>246.38239316560768</v>
      </c>
      <c r="S31" s="153">
        <f t="shared" si="12"/>
        <v>238.7279405930035</v>
      </c>
      <c r="T31" s="153">
        <f t="shared" si="12"/>
        <v>245.20844218097554</v>
      </c>
      <c r="U31" s="153">
        <f t="shared" si="12"/>
        <v>244.56038926326252</v>
      </c>
      <c r="V31" s="153">
        <f t="shared" si="12"/>
        <v>229.37762040436894</v>
      </c>
      <c r="W31" s="153">
        <f t="shared" si="12"/>
        <v>233.57691777684082</v>
      </c>
      <c r="X31" s="153">
        <f t="shared" si="12"/>
        <v>230.45962255370188</v>
      </c>
      <c r="Y31" s="153">
        <f t="shared" si="12"/>
        <v>216.96860866655291</v>
      </c>
      <c r="Z31" s="153">
        <f t="shared" si="12"/>
        <v>231.20349691744337</v>
      </c>
      <c r="AA31" s="153">
        <f t="shared" si="12"/>
        <v>234.14997267252511</v>
      </c>
      <c r="AB31" s="153">
        <f t="shared" si="12"/>
        <v>218.09520668975716</v>
      </c>
      <c r="AC31" s="153">
        <f t="shared" si="12"/>
        <v>206.15679152127825</v>
      </c>
      <c r="AD31" s="153">
        <f t="shared" si="12"/>
        <v>204.11774148220354</v>
      </c>
      <c r="AE31" s="153">
        <f t="shared" si="12"/>
        <v>211.06744965905455</v>
      </c>
      <c r="AF31" s="153">
        <f t="shared" si="12"/>
        <v>201.84714769526832</v>
      </c>
      <c r="AG31" s="153">
        <f t="shared" ref="AG31:AL31" si="13">SUM(AG32:AG36)</f>
        <v>170.2766049694882</v>
      </c>
      <c r="AH31" s="153">
        <f t="shared" si="13"/>
        <v>0</v>
      </c>
      <c r="AI31" s="153">
        <f t="shared" si="13"/>
        <v>0</v>
      </c>
      <c r="AJ31" s="153">
        <f t="shared" si="13"/>
        <v>0</v>
      </c>
      <c r="AK31" s="153">
        <f t="shared" si="13"/>
        <v>0</v>
      </c>
      <c r="AL31" s="153">
        <f t="shared" si="13"/>
        <v>0</v>
      </c>
    </row>
    <row r="32" spans="2:38">
      <c r="B32" s="23" t="s">
        <v>21</v>
      </c>
      <c r="C32" s="24">
        <f>SUMIF($B$4:$B$28,"Coal",C$4:C$28)</f>
        <v>64.150403035044562</v>
      </c>
      <c r="D32" s="24">
        <f t="shared" ref="D32:AL32" si="14">SUMIF($B$4:$B$28,"Coal",D$4:D$28)</f>
        <v>65.433449990958422</v>
      </c>
      <c r="E32" s="24">
        <f t="shared" si="14"/>
        <v>59.585353794020548</v>
      </c>
      <c r="F32" s="24">
        <f t="shared" si="14"/>
        <v>70.507453344745826</v>
      </c>
      <c r="G32" s="24">
        <f t="shared" si="14"/>
        <v>72.284297646723786</v>
      </c>
      <c r="H32" s="24">
        <f t="shared" si="14"/>
        <v>72.182889010385438</v>
      </c>
      <c r="I32" s="24">
        <f t="shared" si="14"/>
        <v>80.57361410252166</v>
      </c>
      <c r="J32" s="24">
        <f t="shared" si="14"/>
        <v>85.474226780048951</v>
      </c>
      <c r="K32" s="24">
        <f t="shared" si="14"/>
        <v>83.683876062601243</v>
      </c>
      <c r="L32" s="24">
        <f t="shared" si="14"/>
        <v>84.911345866200776</v>
      </c>
      <c r="M32" s="24">
        <f t="shared" si="14"/>
        <v>91.029780890876538</v>
      </c>
      <c r="N32" s="24">
        <f t="shared" si="14"/>
        <v>90.066284546668001</v>
      </c>
      <c r="O32" s="24">
        <f t="shared" si="14"/>
        <v>91.45530143372801</v>
      </c>
      <c r="P32" s="24">
        <f t="shared" si="14"/>
        <v>93.901733829933519</v>
      </c>
      <c r="Q32" s="24">
        <f t="shared" si="14"/>
        <v>100.33669805786246</v>
      </c>
      <c r="R32" s="24">
        <f t="shared" si="14"/>
        <v>98.253690741097131</v>
      </c>
      <c r="S32" s="24">
        <f t="shared" si="14"/>
        <v>97.81083550373134</v>
      </c>
      <c r="T32" s="24">
        <f t="shared" si="14"/>
        <v>101.71427113098424</v>
      </c>
      <c r="U32" s="24">
        <f t="shared" si="14"/>
        <v>103.13045670446343</v>
      </c>
      <c r="V32" s="24">
        <f t="shared" si="14"/>
        <v>95.277141168955296</v>
      </c>
      <c r="W32" s="24">
        <f t="shared" si="14"/>
        <v>99.389951686055511</v>
      </c>
      <c r="X32" s="24">
        <f t="shared" si="14"/>
        <v>96.528809926290862</v>
      </c>
      <c r="Y32" s="24">
        <f t="shared" si="14"/>
        <v>88.559094449557335</v>
      </c>
      <c r="Z32" s="24">
        <f t="shared" si="14"/>
        <v>94.003353735589798</v>
      </c>
      <c r="AA32" s="24">
        <f t="shared" si="14"/>
        <v>92.819228850305848</v>
      </c>
      <c r="AB32" s="24">
        <f t="shared" si="14"/>
        <v>78.537011302270642</v>
      </c>
      <c r="AC32" s="24">
        <f t="shared" si="14"/>
        <v>64.526667440864799</v>
      </c>
      <c r="AD32" s="24">
        <f t="shared" si="14"/>
        <v>62.88825677207533</v>
      </c>
      <c r="AE32" s="24">
        <f t="shared" si="14"/>
        <v>64.809393679207261</v>
      </c>
      <c r="AF32" s="24">
        <f t="shared" si="14"/>
        <v>53.84042794067264</v>
      </c>
      <c r="AG32" s="24">
        <f t="shared" si="14"/>
        <v>34.715112363258861</v>
      </c>
      <c r="AH32" s="24">
        <f t="shared" si="14"/>
        <v>0</v>
      </c>
      <c r="AI32" s="24">
        <f t="shared" si="14"/>
        <v>0</v>
      </c>
      <c r="AJ32" s="24">
        <f t="shared" si="14"/>
        <v>0</v>
      </c>
      <c r="AK32" s="24">
        <f t="shared" si="14"/>
        <v>0</v>
      </c>
      <c r="AL32" s="24">
        <f t="shared" si="14"/>
        <v>0</v>
      </c>
    </row>
    <row r="33" spans="2:38">
      <c r="B33" s="23" t="s">
        <v>22</v>
      </c>
      <c r="C33" s="24">
        <f>SUMIF($B$4:$B$28,"Petroleum",C$4:C$28)</f>
        <v>77.745980200576611</v>
      </c>
      <c r="D33" s="24">
        <f t="shared" ref="D33:AL33" si="15">SUMIF($B$4:$B$28,"Petroleum",D$4:D$28)</f>
        <v>73.544451628334755</v>
      </c>
      <c r="E33" s="24">
        <f t="shared" si="15"/>
        <v>75.642455695713579</v>
      </c>
      <c r="F33" s="24">
        <f t="shared" si="15"/>
        <v>77.956480152110089</v>
      </c>
      <c r="G33" s="24">
        <f t="shared" si="15"/>
        <v>78.002146868581633</v>
      </c>
      <c r="H33" s="24">
        <f t="shared" si="15"/>
        <v>78.959089681965324</v>
      </c>
      <c r="I33" s="24">
        <f t="shared" si="15"/>
        <v>82.581133372974449</v>
      </c>
      <c r="J33" s="24">
        <f t="shared" si="15"/>
        <v>82.37896311183323</v>
      </c>
      <c r="K33" s="24">
        <f t="shared" si="15"/>
        <v>82.395119238212516</v>
      </c>
      <c r="L33" s="24">
        <f t="shared" si="15"/>
        <v>89.562507121227526</v>
      </c>
      <c r="M33" s="24">
        <f t="shared" si="15"/>
        <v>88.508272882491923</v>
      </c>
      <c r="N33" s="24">
        <f t="shared" si="15"/>
        <v>86.626079816749638</v>
      </c>
      <c r="O33" s="24">
        <f t="shared" si="15"/>
        <v>84.428296024433834</v>
      </c>
      <c r="P33" s="24">
        <f t="shared" si="15"/>
        <v>88.287454320549514</v>
      </c>
      <c r="Q33" s="24">
        <f t="shared" si="15"/>
        <v>90.080715605460668</v>
      </c>
      <c r="R33" s="24">
        <f t="shared" si="15"/>
        <v>96.515182561038657</v>
      </c>
      <c r="S33" s="24">
        <f t="shared" si="15"/>
        <v>93.293625360721364</v>
      </c>
      <c r="T33" s="24">
        <f t="shared" si="15"/>
        <v>92.083926685270512</v>
      </c>
      <c r="U33" s="24">
        <f t="shared" si="15"/>
        <v>88.140138749099236</v>
      </c>
      <c r="V33" s="24">
        <f t="shared" si="15"/>
        <v>83.150871059106379</v>
      </c>
      <c r="W33" s="24">
        <f t="shared" si="15"/>
        <v>83.011523052802232</v>
      </c>
      <c r="X33" s="24">
        <f t="shared" si="15"/>
        <v>81.507703638937514</v>
      </c>
      <c r="Y33" s="24">
        <f t="shared" si="15"/>
        <v>78.497255342555533</v>
      </c>
      <c r="Z33" s="24">
        <f t="shared" si="15"/>
        <v>80.79428955606781</v>
      </c>
      <c r="AA33" s="24">
        <f t="shared" si="15"/>
        <v>82.578163368364159</v>
      </c>
      <c r="AB33" s="24">
        <f t="shared" si="15"/>
        <v>85.932258781754086</v>
      </c>
      <c r="AC33" s="24">
        <f t="shared" si="15"/>
        <v>86.214205351571664</v>
      </c>
      <c r="AD33" s="24">
        <f t="shared" si="15"/>
        <v>86.35574611037552</v>
      </c>
      <c r="AE33" s="24">
        <f t="shared" si="15"/>
        <v>86.454736957762691</v>
      </c>
      <c r="AF33" s="24">
        <f t="shared" si="15"/>
        <v>85.524094094297013</v>
      </c>
      <c r="AG33" s="24">
        <f t="shared" si="15"/>
        <v>74.398047557867528</v>
      </c>
      <c r="AH33" s="24">
        <f t="shared" si="15"/>
        <v>0</v>
      </c>
      <c r="AI33" s="24">
        <f t="shared" si="15"/>
        <v>0</v>
      </c>
      <c r="AJ33" s="24">
        <f t="shared" si="15"/>
        <v>0</v>
      </c>
      <c r="AK33" s="24">
        <f t="shared" si="15"/>
        <v>0</v>
      </c>
      <c r="AL33" s="24">
        <f t="shared" si="15"/>
        <v>0</v>
      </c>
    </row>
    <row r="34" spans="2:38">
      <c r="B34" s="23" t="s">
        <v>23</v>
      </c>
      <c r="C34" s="47">
        <f>SUMIF($B$4:$B$28,"Natural Gas",C$4:C$28)</f>
        <v>50.104904063718372</v>
      </c>
      <c r="D34" s="47">
        <f t="shared" ref="D34:AL34" si="16">SUMIF($B$4:$B$28,"Natural Gas",D$4:D$28)</f>
        <v>52.453032507084686</v>
      </c>
      <c r="E34" s="47">
        <f t="shared" si="16"/>
        <v>52.70342507537589</v>
      </c>
      <c r="F34" s="47">
        <f t="shared" si="16"/>
        <v>54.966453595610552</v>
      </c>
      <c r="G34" s="47">
        <f t="shared" si="16"/>
        <v>54.579872283706671</v>
      </c>
      <c r="H34" s="47">
        <f t="shared" si="16"/>
        <v>57.393180346666675</v>
      </c>
      <c r="I34" s="47">
        <f t="shared" si="16"/>
        <v>59.597615350797213</v>
      </c>
      <c r="J34" s="47">
        <f t="shared" si="16"/>
        <v>57.44808639316485</v>
      </c>
      <c r="K34" s="47">
        <f t="shared" si="16"/>
        <v>50.937256668407947</v>
      </c>
      <c r="L34" s="47">
        <f t="shared" si="16"/>
        <v>53.451539123030422</v>
      </c>
      <c r="M34" s="47">
        <f t="shared" si="16"/>
        <v>55.096060216216237</v>
      </c>
      <c r="N34" s="47">
        <f t="shared" si="16"/>
        <v>50.860532855238006</v>
      </c>
      <c r="O34" s="47">
        <f t="shared" si="16"/>
        <v>55.766820257558003</v>
      </c>
      <c r="P34" s="47">
        <f t="shared" si="16"/>
        <v>53.200283891877376</v>
      </c>
      <c r="Q34" s="47">
        <f t="shared" si="16"/>
        <v>50.700631933850346</v>
      </c>
      <c r="R34" s="47">
        <f t="shared" si="16"/>
        <v>51.613519863471907</v>
      </c>
      <c r="S34" s="47">
        <f t="shared" si="16"/>
        <v>47.623479728550777</v>
      </c>
      <c r="T34" s="47">
        <f t="shared" si="16"/>
        <v>51.410244364720796</v>
      </c>
      <c r="U34" s="47">
        <f t="shared" si="16"/>
        <v>53.289793809699866</v>
      </c>
      <c r="V34" s="47">
        <f t="shared" si="16"/>
        <v>50.949608176307258</v>
      </c>
      <c r="W34" s="47">
        <f t="shared" si="16"/>
        <v>51.175443037983065</v>
      </c>
      <c r="X34" s="47">
        <f t="shared" si="16"/>
        <v>52.423108988473494</v>
      </c>
      <c r="Y34" s="47">
        <f t="shared" si="16"/>
        <v>49.91225887444002</v>
      </c>
      <c r="Z34" s="47">
        <f t="shared" si="16"/>
        <v>56.405853625785767</v>
      </c>
      <c r="AA34" s="47">
        <f t="shared" si="16"/>
        <v>58.752580453855096</v>
      </c>
      <c r="AB34" s="47">
        <f t="shared" si="16"/>
        <v>53.625936605732434</v>
      </c>
      <c r="AC34" s="47">
        <f t="shared" si="16"/>
        <v>55.415918728841817</v>
      </c>
      <c r="AD34" s="47">
        <f t="shared" si="16"/>
        <v>54.873738599752713</v>
      </c>
      <c r="AE34" s="47">
        <f t="shared" si="16"/>
        <v>59.80331902208458</v>
      </c>
      <c r="AF34" s="47">
        <f t="shared" si="16"/>
        <v>62.48262566029868</v>
      </c>
      <c r="AG34" s="47">
        <f t="shared" si="16"/>
        <v>61.163445048361815</v>
      </c>
      <c r="AH34" s="47">
        <f t="shared" si="16"/>
        <v>0</v>
      </c>
      <c r="AI34" s="47">
        <f t="shared" si="16"/>
        <v>0</v>
      </c>
      <c r="AJ34" s="47">
        <f t="shared" si="16"/>
        <v>0</v>
      </c>
      <c r="AK34" s="47">
        <f t="shared" si="16"/>
        <v>0</v>
      </c>
      <c r="AL34" s="47">
        <f t="shared" si="16"/>
        <v>0</v>
      </c>
    </row>
    <row r="35" spans="2:38">
      <c r="B35" s="23" t="s">
        <v>24</v>
      </c>
      <c r="C35" s="47">
        <f>SUMIF($B$4:$B$28,"Other",C$4:C$28)</f>
        <v>0</v>
      </c>
      <c r="D35" s="47">
        <f t="shared" ref="D35:AL35" si="17">SUMIF($B$4:$B$28,"Other",D$4:D$28)</f>
        <v>0</v>
      </c>
      <c r="E35" s="47">
        <f t="shared" si="17"/>
        <v>0</v>
      </c>
      <c r="F35" s="47">
        <f t="shared" si="17"/>
        <v>0</v>
      </c>
      <c r="G35" s="47">
        <f t="shared" si="17"/>
        <v>0</v>
      </c>
      <c r="H35" s="47">
        <f t="shared" si="17"/>
        <v>0</v>
      </c>
      <c r="I35" s="47">
        <f t="shared" si="17"/>
        <v>0</v>
      </c>
      <c r="J35" s="47">
        <f t="shared" si="17"/>
        <v>0</v>
      </c>
      <c r="K35" s="47">
        <f t="shared" si="17"/>
        <v>0</v>
      </c>
      <c r="L35" s="47">
        <f t="shared" si="17"/>
        <v>0</v>
      </c>
      <c r="M35" s="47">
        <f t="shared" si="17"/>
        <v>0</v>
      </c>
      <c r="N35" s="47">
        <f t="shared" si="17"/>
        <v>0</v>
      </c>
      <c r="O35" s="47">
        <f t="shared" si="17"/>
        <v>0</v>
      </c>
      <c r="P35" s="47">
        <f t="shared" si="17"/>
        <v>0</v>
      </c>
      <c r="Q35" s="47">
        <f t="shared" si="17"/>
        <v>0</v>
      </c>
      <c r="R35" s="47">
        <f t="shared" si="17"/>
        <v>0</v>
      </c>
      <c r="S35" s="47">
        <f t="shared" si="17"/>
        <v>0</v>
      </c>
      <c r="T35" s="47">
        <f t="shared" si="17"/>
        <v>0</v>
      </c>
      <c r="U35" s="47">
        <f t="shared" si="17"/>
        <v>0</v>
      </c>
      <c r="V35" s="47">
        <f t="shared" si="17"/>
        <v>0</v>
      </c>
      <c r="W35" s="47">
        <f t="shared" si="17"/>
        <v>0</v>
      </c>
      <c r="X35" s="47">
        <f t="shared" si="17"/>
        <v>0</v>
      </c>
      <c r="Y35" s="47">
        <f t="shared" si="17"/>
        <v>0</v>
      </c>
      <c r="Z35" s="47">
        <f t="shared" si="17"/>
        <v>0</v>
      </c>
      <c r="AA35" s="47">
        <f t="shared" si="17"/>
        <v>0</v>
      </c>
      <c r="AB35" s="47">
        <f t="shared" si="17"/>
        <v>0</v>
      </c>
      <c r="AC35" s="47">
        <f t="shared" si="17"/>
        <v>0</v>
      </c>
      <c r="AD35" s="47">
        <f t="shared" si="17"/>
        <v>0</v>
      </c>
      <c r="AE35" s="47">
        <f t="shared" si="17"/>
        <v>0</v>
      </c>
      <c r="AF35" s="47">
        <f t="shared" si="17"/>
        <v>0</v>
      </c>
      <c r="AG35" s="47">
        <f t="shared" si="17"/>
        <v>0</v>
      </c>
      <c r="AH35" s="47">
        <f t="shared" si="17"/>
        <v>0</v>
      </c>
      <c r="AI35" s="47">
        <f t="shared" si="17"/>
        <v>0</v>
      </c>
      <c r="AJ35" s="47">
        <f t="shared" si="17"/>
        <v>0</v>
      </c>
      <c r="AK35" s="47">
        <f t="shared" si="17"/>
        <v>0</v>
      </c>
      <c r="AL35" s="47">
        <f t="shared" si="17"/>
        <v>0</v>
      </c>
    </row>
    <row r="36" spans="2:38" ht="13.5" thickBot="1">
      <c r="B36" s="320" t="s">
        <v>31</v>
      </c>
      <c r="C36" s="353"/>
      <c r="D36" s="353"/>
      <c r="E36" s="353"/>
      <c r="F36" s="353"/>
      <c r="G36" s="353"/>
      <c r="H36" s="353"/>
      <c r="I36" s="353"/>
      <c r="J36" s="353"/>
      <c r="K36" s="353"/>
      <c r="L36" s="353"/>
      <c r="M36" s="353"/>
      <c r="N36" s="353"/>
      <c r="O36" s="353"/>
      <c r="P36" s="353"/>
      <c r="Q36" s="353"/>
      <c r="R36" s="353"/>
      <c r="S36" s="353"/>
      <c r="T36" s="353"/>
      <c r="U36" s="353"/>
      <c r="V36" s="353"/>
      <c r="W36" s="353"/>
      <c r="X36" s="353"/>
      <c r="Y36" s="353"/>
      <c r="Z36" s="353"/>
      <c r="AA36" s="353"/>
      <c r="AB36" s="353"/>
      <c r="AC36" s="353"/>
      <c r="AD36" s="353"/>
      <c r="AE36" s="353"/>
      <c r="AF36" s="353"/>
      <c r="AG36" s="353"/>
      <c r="AH36" s="353"/>
      <c r="AI36" s="353"/>
      <c r="AJ36" s="353"/>
      <c r="AK36" s="353"/>
      <c r="AL36" s="353"/>
    </row>
    <row r="37" spans="2:38" s="279" customFormat="1" ht="14">
      <c r="B37" s="276">
        <f>MAX(C37:AL37)</f>
        <v>2020</v>
      </c>
      <c r="C37" s="279">
        <f>1990</f>
        <v>1990</v>
      </c>
      <c r="D37" s="279">
        <f>IF(D31=0,0,D3)</f>
        <v>1991</v>
      </c>
      <c r="E37" s="279">
        <f t="shared" ref="E37:AL37" si="18">IF(E31=0,0,E3)</f>
        <v>1992</v>
      </c>
      <c r="F37" s="279">
        <f t="shared" si="18"/>
        <v>1993</v>
      </c>
      <c r="G37" s="279">
        <f t="shared" si="18"/>
        <v>1994</v>
      </c>
      <c r="H37" s="279">
        <f t="shared" si="18"/>
        <v>1995</v>
      </c>
      <c r="I37" s="279">
        <f t="shared" si="18"/>
        <v>1996</v>
      </c>
      <c r="J37" s="279">
        <f t="shared" si="18"/>
        <v>1997</v>
      </c>
      <c r="K37" s="279">
        <f t="shared" si="18"/>
        <v>1998</v>
      </c>
      <c r="L37" s="279">
        <f t="shared" si="18"/>
        <v>1999</v>
      </c>
      <c r="M37" s="279">
        <f t="shared" si="18"/>
        <v>2000</v>
      </c>
      <c r="N37" s="279">
        <f t="shared" si="18"/>
        <v>2001</v>
      </c>
      <c r="O37" s="279">
        <f t="shared" si="18"/>
        <v>2002</v>
      </c>
      <c r="P37" s="279">
        <f t="shared" si="18"/>
        <v>2003</v>
      </c>
      <c r="Q37" s="279">
        <f t="shared" si="18"/>
        <v>2004</v>
      </c>
      <c r="R37" s="279">
        <f t="shared" si="18"/>
        <v>2005</v>
      </c>
      <c r="S37" s="279">
        <f t="shared" si="18"/>
        <v>2006</v>
      </c>
      <c r="T37" s="279">
        <f t="shared" si="18"/>
        <v>2007</v>
      </c>
      <c r="U37" s="279">
        <f t="shared" si="18"/>
        <v>2008</v>
      </c>
      <c r="V37" s="279">
        <f t="shared" si="18"/>
        <v>2009</v>
      </c>
      <c r="W37" s="279">
        <f t="shared" si="18"/>
        <v>2010</v>
      </c>
      <c r="X37" s="279">
        <f t="shared" si="18"/>
        <v>2011</v>
      </c>
      <c r="Y37" s="279">
        <f t="shared" si="18"/>
        <v>2012</v>
      </c>
      <c r="Z37" s="279">
        <f t="shared" si="18"/>
        <v>2013</v>
      </c>
      <c r="AA37" s="279">
        <f t="shared" si="18"/>
        <v>2014</v>
      </c>
      <c r="AB37" s="279">
        <f t="shared" si="18"/>
        <v>2015</v>
      </c>
      <c r="AC37" s="279">
        <f t="shared" si="18"/>
        <v>2016</v>
      </c>
      <c r="AD37" s="279">
        <f t="shared" si="18"/>
        <v>2017</v>
      </c>
      <c r="AE37" s="279">
        <f t="shared" si="18"/>
        <v>2018</v>
      </c>
      <c r="AF37" s="279">
        <f t="shared" si="18"/>
        <v>2019</v>
      </c>
      <c r="AG37" s="279">
        <f t="shared" si="18"/>
        <v>2020</v>
      </c>
      <c r="AH37" s="279">
        <f t="shared" si="18"/>
        <v>0</v>
      </c>
      <c r="AI37" s="279">
        <f t="shared" si="18"/>
        <v>0</v>
      </c>
      <c r="AJ37" s="279">
        <f t="shared" si="18"/>
        <v>0</v>
      </c>
      <c r="AK37" s="279">
        <f t="shared" si="18"/>
        <v>0</v>
      </c>
      <c r="AL37" s="279">
        <f t="shared" si="18"/>
        <v>0</v>
      </c>
    </row>
    <row r="38" spans="2:38" s="276" customFormat="1" ht="15.5">
      <c r="C38" s="283">
        <v>1</v>
      </c>
      <c r="D38" s="283">
        <f>IF(D3&lt;=$B37,C38+1,0)</f>
        <v>2</v>
      </c>
      <c r="E38" s="283">
        <f t="shared" ref="E38:AL38" si="19">IF(E3&lt;=$B37,D38+1,0)</f>
        <v>3</v>
      </c>
      <c r="F38" s="283">
        <f t="shared" si="19"/>
        <v>4</v>
      </c>
      <c r="G38" s="283">
        <f t="shared" si="19"/>
        <v>5</v>
      </c>
      <c r="H38" s="283">
        <f t="shared" si="19"/>
        <v>6</v>
      </c>
      <c r="I38" s="283">
        <f t="shared" si="19"/>
        <v>7</v>
      </c>
      <c r="J38" s="283">
        <f t="shared" si="19"/>
        <v>8</v>
      </c>
      <c r="K38" s="283">
        <f t="shared" si="19"/>
        <v>9</v>
      </c>
      <c r="L38" s="283">
        <f t="shared" si="19"/>
        <v>10</v>
      </c>
      <c r="M38" s="283">
        <f t="shared" si="19"/>
        <v>11</v>
      </c>
      <c r="N38" s="283">
        <f t="shared" si="19"/>
        <v>12</v>
      </c>
      <c r="O38" s="283">
        <f t="shared" si="19"/>
        <v>13</v>
      </c>
      <c r="P38" s="283">
        <f t="shared" si="19"/>
        <v>14</v>
      </c>
      <c r="Q38" s="283">
        <f t="shared" si="19"/>
        <v>15</v>
      </c>
      <c r="R38" s="283">
        <f t="shared" si="19"/>
        <v>16</v>
      </c>
      <c r="S38" s="283">
        <f t="shared" si="19"/>
        <v>17</v>
      </c>
      <c r="T38" s="283">
        <f t="shared" si="19"/>
        <v>18</v>
      </c>
      <c r="U38" s="283">
        <f t="shared" si="19"/>
        <v>19</v>
      </c>
      <c r="V38" s="283">
        <f t="shared" si="19"/>
        <v>20</v>
      </c>
      <c r="W38" s="283">
        <f t="shared" si="19"/>
        <v>21</v>
      </c>
      <c r="X38" s="283">
        <f t="shared" si="19"/>
        <v>22</v>
      </c>
      <c r="Y38" s="283">
        <f t="shared" si="19"/>
        <v>23</v>
      </c>
      <c r="Z38" s="283">
        <f t="shared" si="19"/>
        <v>24</v>
      </c>
      <c r="AA38" s="283">
        <f t="shared" si="19"/>
        <v>25</v>
      </c>
      <c r="AB38" s="283">
        <f t="shared" si="19"/>
        <v>26</v>
      </c>
      <c r="AC38" s="283">
        <f t="shared" si="19"/>
        <v>27</v>
      </c>
      <c r="AD38" s="283">
        <f t="shared" si="19"/>
        <v>28</v>
      </c>
      <c r="AE38" s="283">
        <f t="shared" si="19"/>
        <v>29</v>
      </c>
      <c r="AF38" s="283">
        <f t="shared" si="19"/>
        <v>30</v>
      </c>
      <c r="AG38" s="283">
        <f t="shared" si="19"/>
        <v>31</v>
      </c>
      <c r="AH38" s="283">
        <f t="shared" si="19"/>
        <v>0</v>
      </c>
      <c r="AI38" s="283">
        <f t="shared" si="19"/>
        <v>0</v>
      </c>
      <c r="AJ38" s="283">
        <f t="shared" si="19"/>
        <v>0</v>
      </c>
      <c r="AK38" s="283">
        <f t="shared" si="19"/>
        <v>0</v>
      </c>
      <c r="AL38" s="283">
        <f t="shared" si="19"/>
        <v>0</v>
      </c>
    </row>
    <row r="39" spans="2:38" s="276" customFormat="1">
      <c r="AB39" s="303"/>
      <c r="AC39" s="303"/>
      <c r="AD39" s="303"/>
      <c r="AE39" s="303"/>
      <c r="AF39" s="303"/>
    </row>
    <row r="40" spans="2:38" ht="21.5">
      <c r="C40" s="38"/>
      <c r="K40" s="38"/>
      <c r="AA40" s="276" t="str">
        <f>"Emissions by Fuel Type, 1990-"&amp;B37</f>
        <v>Emissions by Fuel Type, 1990-2020</v>
      </c>
      <c r="AB40" s="303"/>
      <c r="AC40" s="303"/>
      <c r="AD40" s="303"/>
      <c r="AE40" s="303"/>
      <c r="AF40" s="303"/>
    </row>
    <row r="41" spans="2:38">
      <c r="AA41" s="276" t="str">
        <f>"Emissions by Sector, 1990-"&amp;B37</f>
        <v>Emissions by Sector, 1990-2020</v>
      </c>
      <c r="AB41" s="303"/>
      <c r="AC41" s="303"/>
      <c r="AD41" s="303"/>
      <c r="AE41" s="303"/>
      <c r="AF41" s="303"/>
    </row>
    <row r="42" spans="2:38">
      <c r="AA42" s="276"/>
      <c r="AB42" s="303"/>
      <c r="AC42" s="303"/>
      <c r="AD42" s="303"/>
      <c r="AE42" s="303"/>
      <c r="AF42" s="303"/>
    </row>
    <row r="43" spans="2:38">
      <c r="AA43" s="276"/>
      <c r="AB43" s="303"/>
      <c r="AC43" s="303"/>
      <c r="AD43" s="303"/>
      <c r="AE43" s="303"/>
      <c r="AF43" s="303"/>
    </row>
    <row r="44" spans="2:38">
      <c r="AA44" s="303"/>
      <c r="AB44" s="303"/>
      <c r="AC44" s="303"/>
      <c r="AD44" s="303"/>
      <c r="AE44" s="303"/>
      <c r="AF44" s="303"/>
    </row>
    <row r="45" spans="2:38">
      <c r="AA45" s="303"/>
      <c r="AB45" s="303"/>
      <c r="AC45" s="303"/>
      <c r="AD45" s="303"/>
      <c r="AE45" s="303"/>
      <c r="AF45" s="303"/>
    </row>
    <row r="46" spans="2:38">
      <c r="AA46" s="303"/>
      <c r="AB46" s="303"/>
      <c r="AC46" s="303"/>
      <c r="AD46" s="303"/>
      <c r="AE46" s="303"/>
      <c r="AF46" s="303"/>
    </row>
    <row r="47" spans="2:38">
      <c r="AA47" s="303"/>
      <c r="AB47" s="303"/>
      <c r="AC47" s="303"/>
      <c r="AD47" s="303"/>
      <c r="AE47" s="303"/>
      <c r="AF47" s="303"/>
    </row>
    <row r="48" spans="2:38">
      <c r="AA48" s="303"/>
      <c r="AB48" s="303"/>
      <c r="AC48" s="303"/>
      <c r="AD48" s="303"/>
      <c r="AE48" s="303"/>
      <c r="AF48" s="303"/>
    </row>
    <row r="49" spans="27:32">
      <c r="AA49" s="303"/>
      <c r="AB49" s="303"/>
      <c r="AC49" s="303"/>
      <c r="AD49" s="303"/>
      <c r="AE49" s="303"/>
      <c r="AF49" s="303"/>
    </row>
  </sheetData>
  <sheetProtection algorithmName="SHA-512" hashValue="gVnYycErRdMFd06jE9NM/wXMe0V/mypRgGv+7q7T6cEo732/HDF06Ui8WWHuMV1O9wZwwzTYwKkj/FPMyOoFrw==" saltValue="9Ju5QR/x99ud6s6gmWcMJQ==" spinCount="100000" sheet="1" objects="1" scenarios="1"/>
  <protectedRanges>
    <protectedRange sqref="C37:AL37" name="AES CO2FFC"/>
  </protectedRanges>
  <mergeCells count="1">
    <mergeCell ref="A1:E1"/>
  </mergeCells>
  <phoneticPr fontId="0" type="noConversion"/>
  <pageMargins left="0.75" right="0.75" top="1" bottom="1" header="0.5" footer="0.5"/>
  <pageSetup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dimension ref="A1:BJ65"/>
  <sheetViews>
    <sheetView showGridLines="0" showRowColHeaders="0" zoomScale="115" zoomScaleNormal="115" workbookViewId="0">
      <selection activeCell="B3" sqref="B3"/>
    </sheetView>
  </sheetViews>
  <sheetFormatPr defaultColWidth="9.1796875" defaultRowHeight="13"/>
  <cols>
    <col min="1" max="1" width="13.54296875" style="18" bestFit="1" customWidth="1"/>
    <col min="2" max="2" width="24.54296875" style="18" customWidth="1"/>
    <col min="3" max="3" width="10.26953125" style="18" customWidth="1"/>
    <col min="4" max="6" width="8.26953125" style="18" customWidth="1"/>
    <col min="7" max="9" width="9" style="18" customWidth="1"/>
    <col min="10" max="12" width="9.54296875" style="18" customWidth="1"/>
    <col min="13" max="22" width="9.1796875" style="18"/>
    <col min="23" max="23" width="11" style="18" bestFit="1" customWidth="1"/>
    <col min="24" max="32" width="9.1796875" style="18"/>
    <col min="33" max="33" width="9.453125" style="18" bestFit="1" customWidth="1"/>
    <col min="34" max="16384" width="9.1796875" style="18"/>
  </cols>
  <sheetData>
    <row r="1" spans="1:62" ht="43.5" customHeight="1">
      <c r="A1" s="426" t="str">
        <f>"Summary of Indirect CO2 Emissions from Electricity Consumption in "&amp;StateName&amp;" (MMTCO2E)"</f>
        <v>Summary of Indirect CO2 Emissions from Electricity Consumption in Illinois (MMTCO2E)</v>
      </c>
      <c r="B1" s="426"/>
      <c r="C1" s="426"/>
      <c r="D1" s="426"/>
      <c r="E1" s="426"/>
      <c r="F1" s="426"/>
      <c r="G1" s="426"/>
      <c r="H1" s="426"/>
      <c r="I1" s="426"/>
      <c r="J1" s="426"/>
      <c r="K1" s="426"/>
      <c r="L1" s="426"/>
      <c r="M1" s="426"/>
      <c r="N1" s="426"/>
      <c r="O1" s="426"/>
      <c r="AK1" s="182"/>
      <c r="AZ1" s="18">
        <v>45329.437304861109</v>
      </c>
      <c r="BJ1" s="211"/>
    </row>
    <row r="2" spans="1:62" ht="61.5" customHeight="1">
      <c r="A2" s="19"/>
    </row>
    <row r="3" spans="1:62" ht="13.5" thickBot="1">
      <c r="B3" s="56" t="s">
        <v>19</v>
      </c>
      <c r="C3" s="20">
        <v>1990</v>
      </c>
      <c r="D3" s="20">
        <v>1991</v>
      </c>
      <c r="E3" s="20">
        <v>1992</v>
      </c>
      <c r="F3" s="20">
        <v>1993</v>
      </c>
      <c r="G3" s="20">
        <v>1994</v>
      </c>
      <c r="H3" s="20">
        <v>1995</v>
      </c>
      <c r="I3" s="20">
        <v>1996</v>
      </c>
      <c r="J3" s="20">
        <v>1997</v>
      </c>
      <c r="K3" s="20">
        <v>1998</v>
      </c>
      <c r="L3" s="20">
        <v>1999</v>
      </c>
      <c r="M3" s="20">
        <v>2000</v>
      </c>
      <c r="N3" s="20">
        <v>2001</v>
      </c>
      <c r="O3" s="20">
        <v>2002</v>
      </c>
      <c r="P3" s="20">
        <v>2003</v>
      </c>
      <c r="Q3" s="20">
        <v>2004</v>
      </c>
      <c r="R3" s="20">
        <v>2005</v>
      </c>
      <c r="S3" s="20">
        <v>2006</v>
      </c>
      <c r="T3" s="20">
        <v>2007</v>
      </c>
      <c r="U3" s="20">
        <v>2008</v>
      </c>
      <c r="V3" s="20">
        <v>2009</v>
      </c>
      <c r="W3" s="20">
        <v>2010</v>
      </c>
      <c r="X3" s="20">
        <v>2011</v>
      </c>
      <c r="Y3" s="20">
        <v>2012</v>
      </c>
      <c r="Z3" s="20">
        <v>2013</v>
      </c>
      <c r="AA3" s="20">
        <v>2014</v>
      </c>
      <c r="AB3" s="20">
        <v>2015</v>
      </c>
      <c r="AC3" s="20">
        <v>2016</v>
      </c>
      <c r="AD3" s="20">
        <v>2017</v>
      </c>
      <c r="AE3" s="20">
        <v>2018</v>
      </c>
      <c r="AF3" s="20">
        <v>2019</v>
      </c>
      <c r="AG3" s="20">
        <v>2020</v>
      </c>
      <c r="AH3" s="20">
        <v>2021</v>
      </c>
      <c r="AI3" s="20">
        <v>2022</v>
      </c>
      <c r="AJ3" s="20">
        <v>2023</v>
      </c>
      <c r="AK3" s="20">
        <v>2024</v>
      </c>
      <c r="AL3" s="20">
        <v>2025</v>
      </c>
      <c r="AM3" s="145"/>
      <c r="AN3" s="145"/>
      <c r="AO3" s="145"/>
      <c r="AP3" s="145"/>
      <c r="AQ3" s="145"/>
    </row>
    <row r="4" spans="1:62">
      <c r="B4" s="269" t="s">
        <v>20</v>
      </c>
      <c r="C4" s="268">
        <f t="shared" ref="C4:L4" si="0">SUM(C5:C9)</f>
        <v>17.942349601401425</v>
      </c>
      <c r="D4" s="268">
        <f t="shared" si="0"/>
        <v>19.630248980346892</v>
      </c>
      <c r="E4" s="268">
        <f t="shared" si="0"/>
        <v>17.667032111953493</v>
      </c>
      <c r="F4" s="268">
        <f t="shared" si="0"/>
        <v>19.227431177656658</v>
      </c>
      <c r="G4" s="268">
        <f t="shared" si="0"/>
        <v>19.489470717293909</v>
      </c>
      <c r="H4" s="268">
        <f t="shared" si="0"/>
        <v>20.952604801251372</v>
      </c>
      <c r="I4" s="268">
        <f t="shared" si="0"/>
        <v>20.498434927606585</v>
      </c>
      <c r="J4" s="268">
        <f t="shared" si="0"/>
        <v>20.340059381671978</v>
      </c>
      <c r="K4" s="268">
        <f t="shared" si="0"/>
        <v>21.67345349820221</v>
      </c>
      <c r="L4" s="268">
        <f t="shared" si="0"/>
        <v>21.631859920482015</v>
      </c>
      <c r="M4" s="268">
        <f>SUM(M5:M9)</f>
        <v>21.91341644658797</v>
      </c>
      <c r="N4" s="268">
        <f t="shared" ref="N4:AG4" si="1">SUM(N5:N9)</f>
        <v>22.826875403443118</v>
      </c>
      <c r="O4" s="268">
        <f t="shared" si="1"/>
        <v>24.579084852555965</v>
      </c>
      <c r="P4" s="268">
        <f t="shared" si="1"/>
        <v>23.558922371318619</v>
      </c>
      <c r="Q4" s="268">
        <f t="shared" si="1"/>
        <v>23.712498658285508</v>
      </c>
      <c r="R4" s="268">
        <f t="shared" si="1"/>
        <v>26.523584610975274</v>
      </c>
      <c r="S4" s="268">
        <f t="shared" si="1"/>
        <v>25.171648946959351</v>
      </c>
      <c r="T4" s="268">
        <f t="shared" si="1"/>
        <v>25.919335638038064</v>
      </c>
      <c r="U4" s="268">
        <f t="shared" si="1"/>
        <v>24.71298998821635</v>
      </c>
      <c r="V4" s="268">
        <f t="shared" si="1"/>
        <v>22.918021561057877</v>
      </c>
      <c r="W4" s="268">
        <f t="shared" si="1"/>
        <v>25.231942913589052</v>
      </c>
      <c r="X4" s="268">
        <f t="shared" si="1"/>
        <v>24.006159241816388</v>
      </c>
      <c r="Y4" s="268">
        <f t="shared" si="1"/>
        <v>23.479377487649153</v>
      </c>
      <c r="Z4" s="268">
        <f t="shared" si="1"/>
        <v>22.625671683349175</v>
      </c>
      <c r="AA4" s="268">
        <f t="shared" si="1"/>
        <v>21.890471778993238</v>
      </c>
      <c r="AB4" s="268">
        <f t="shared" si="1"/>
        <v>19.267277725611088</v>
      </c>
      <c r="AC4" s="268">
        <f t="shared" si="1"/>
        <v>17.82391769980093</v>
      </c>
      <c r="AD4" s="268">
        <f t="shared" si="1"/>
        <v>16.910272490722466</v>
      </c>
      <c r="AE4" s="268">
        <f t="shared" si="1"/>
        <v>18.307488037745124</v>
      </c>
      <c r="AF4" s="268">
        <f t="shared" si="1"/>
        <v>15.687661472688394</v>
      </c>
      <c r="AG4" s="268">
        <f t="shared" si="1"/>
        <v>12.306223372184412</v>
      </c>
      <c r="AH4" s="268">
        <f t="shared" ref="AH4:AL4" si="2">SUM(AH5:AH9)</f>
        <v>0</v>
      </c>
      <c r="AI4" s="268">
        <f t="shared" si="2"/>
        <v>0</v>
      </c>
      <c r="AJ4" s="268">
        <f t="shared" si="2"/>
        <v>0</v>
      </c>
      <c r="AK4" s="268">
        <f t="shared" si="2"/>
        <v>0</v>
      </c>
      <c r="AL4" s="268">
        <f t="shared" si="2"/>
        <v>0</v>
      </c>
      <c r="AM4" s="46"/>
      <c r="AN4" s="46"/>
      <c r="AO4" s="46"/>
      <c r="AP4" s="46"/>
      <c r="AQ4" s="46"/>
    </row>
    <row r="5" spans="1:62">
      <c r="B5" s="224" t="s">
        <v>32</v>
      </c>
      <c r="C5" s="24">
        <v>1.2815964001001017</v>
      </c>
      <c r="D5" s="24">
        <v>1.402160641453349</v>
      </c>
      <c r="E5" s="24">
        <v>1.2619308651395351</v>
      </c>
      <c r="F5" s="24">
        <v>1.3733879412611896</v>
      </c>
      <c r="G5" s="24">
        <v>1.3921050512352791</v>
      </c>
      <c r="H5" s="24">
        <v>1.4966146286608126</v>
      </c>
      <c r="I5" s="24">
        <v>1.4641739234004703</v>
      </c>
      <c r="J5" s="24">
        <v>1.4528613844051412</v>
      </c>
      <c r="K5" s="24">
        <v>1.5481038213001577</v>
      </c>
      <c r="L5" s="24">
        <v>1.5451328514630007</v>
      </c>
      <c r="M5" s="24">
        <v>1.5652440318991407</v>
      </c>
      <c r="N5" s="24">
        <v>1.6304911002459364</v>
      </c>
      <c r="O5" s="24">
        <v>1.6506916457655982</v>
      </c>
      <c r="P5" s="24">
        <v>1.4815781926062175</v>
      </c>
      <c r="Q5" s="24">
        <v>1.3899795409165803</v>
      </c>
      <c r="R5" s="24">
        <v>1.4414991636399606</v>
      </c>
      <c r="S5" s="24">
        <v>1.5798265122157273</v>
      </c>
      <c r="T5" s="24">
        <v>1.8448463098932053</v>
      </c>
      <c r="U5" s="24">
        <v>1.9669257217198381</v>
      </c>
      <c r="V5" s="24">
        <v>2.0169022040911879</v>
      </c>
      <c r="W5" s="24">
        <v>2.5012731127238652</v>
      </c>
      <c r="X5" s="24">
        <v>2.6468555382205352</v>
      </c>
      <c r="Y5" s="24">
        <v>2.8500087785350083</v>
      </c>
      <c r="Z5" s="24">
        <v>2.9981193412236684</v>
      </c>
      <c r="AA5" s="24">
        <v>3.1442546919705707</v>
      </c>
      <c r="AB5" s="24">
        <v>2.9818406003921929</v>
      </c>
      <c r="AC5" s="24">
        <v>2.7584634535406201</v>
      </c>
      <c r="AD5" s="24">
        <v>2.6170659807070495</v>
      </c>
      <c r="AE5" s="24">
        <v>2.8333017201272219</v>
      </c>
      <c r="AF5" s="24">
        <v>2.4278523707732043</v>
      </c>
      <c r="AG5" s="24">
        <v>1.9045345695047307</v>
      </c>
      <c r="AH5" s="24">
        <v>0</v>
      </c>
      <c r="AI5" s="24">
        <v>0</v>
      </c>
      <c r="AJ5" s="24">
        <v>0</v>
      </c>
      <c r="AK5" s="24">
        <v>0</v>
      </c>
      <c r="AL5" s="24">
        <v>0</v>
      </c>
      <c r="AM5" s="46"/>
      <c r="AN5" s="46"/>
      <c r="AO5" s="46"/>
      <c r="AP5" s="46"/>
      <c r="AQ5" s="46"/>
    </row>
    <row r="6" spans="1:62">
      <c r="B6" s="224" t="s">
        <v>33</v>
      </c>
      <c r="C6" s="24">
        <v>2.2616407060590031</v>
      </c>
      <c r="D6" s="24">
        <v>2.4744011319764989</v>
      </c>
      <c r="E6" s="24">
        <v>2.226936820834474</v>
      </c>
      <c r="F6" s="24">
        <v>2.4236257786962172</v>
      </c>
      <c r="G6" s="24">
        <v>2.4566559727681394</v>
      </c>
      <c r="H6" s="24">
        <v>2.6410846388131985</v>
      </c>
      <c r="I6" s="24">
        <v>2.5838363354125948</v>
      </c>
      <c r="J6" s="24">
        <v>2.5638730313031908</v>
      </c>
      <c r="K6" s="24">
        <v>2.7319479199414549</v>
      </c>
      <c r="L6" s="24">
        <v>2.72670503199353</v>
      </c>
      <c r="M6" s="24">
        <v>2.7621953504102486</v>
      </c>
      <c r="N6" s="24">
        <v>2.8773372357281231</v>
      </c>
      <c r="O6" s="24">
        <v>3.2587268600187236</v>
      </c>
      <c r="P6" s="24">
        <v>3.2773327339713423</v>
      </c>
      <c r="Q6" s="24">
        <v>3.453560386430055</v>
      </c>
      <c r="R6" s="24">
        <v>4.0361976581918899</v>
      </c>
      <c r="S6" s="24">
        <v>3.3241295658963508</v>
      </c>
      <c r="T6" s="24">
        <v>2.9014891322363163</v>
      </c>
      <c r="U6" s="24">
        <v>2.2693345111542662</v>
      </c>
      <c r="V6" s="24">
        <v>1.6435008225060557</v>
      </c>
      <c r="W6" s="24">
        <v>1.9751224688563798</v>
      </c>
      <c r="X6" s="24">
        <v>2.0368060260621523</v>
      </c>
      <c r="Y6" s="24">
        <v>2.1462882946099215</v>
      </c>
      <c r="Z6" s="24">
        <v>2.2168209407092738</v>
      </c>
      <c r="AA6" s="24">
        <v>2.2885310364954612</v>
      </c>
      <c r="AB6" s="24">
        <v>2.1408086361790097</v>
      </c>
      <c r="AC6" s="24">
        <v>1.9804352999778809</v>
      </c>
      <c r="AD6" s="24">
        <v>1.8789191656358295</v>
      </c>
      <c r="AE6" s="24">
        <v>2.0341653375272362</v>
      </c>
      <c r="AF6" s="24">
        <v>1.7430734969653767</v>
      </c>
      <c r="AG6" s="24">
        <v>1.3673581524649348</v>
      </c>
      <c r="AH6" s="24">
        <v>0</v>
      </c>
      <c r="AI6" s="24">
        <v>0</v>
      </c>
      <c r="AJ6" s="24">
        <v>0</v>
      </c>
      <c r="AK6" s="24">
        <v>0</v>
      </c>
      <c r="AL6" s="24">
        <v>0</v>
      </c>
      <c r="AM6" s="46"/>
      <c r="AN6" s="46"/>
      <c r="AO6" s="46"/>
      <c r="AP6" s="46"/>
      <c r="AQ6" s="46"/>
    </row>
    <row r="7" spans="1:62">
      <c r="B7" s="224" t="s">
        <v>34</v>
      </c>
      <c r="C7" s="47">
        <v>1.2062083765648017</v>
      </c>
      <c r="D7" s="47">
        <v>1.3196806037207991</v>
      </c>
      <c r="E7" s="47">
        <v>1.1876996377783862</v>
      </c>
      <c r="F7" s="47">
        <v>1.2926004153046493</v>
      </c>
      <c r="G7" s="47">
        <v>1.3102165188096744</v>
      </c>
      <c r="H7" s="47">
        <v>1.4085784740337055</v>
      </c>
      <c r="I7" s="47">
        <v>1.3780460455533836</v>
      </c>
      <c r="J7" s="47">
        <v>1.3673989500283685</v>
      </c>
      <c r="K7" s="47">
        <v>1.4570388906354426</v>
      </c>
      <c r="L7" s="47">
        <v>1.4542426837298832</v>
      </c>
      <c r="M7" s="47">
        <v>1.4731708535521328</v>
      </c>
      <c r="N7" s="47">
        <v>1.5345798590549993</v>
      </c>
      <c r="O7" s="47">
        <v>1.7290821931503642</v>
      </c>
      <c r="P7" s="47">
        <v>1.7308391085736152</v>
      </c>
      <c r="Q7" s="47">
        <v>1.8161244176993419</v>
      </c>
      <c r="R7" s="47">
        <v>2.1141987733386083</v>
      </c>
      <c r="S7" s="47">
        <v>2.0035960734523761</v>
      </c>
      <c r="T7" s="47">
        <v>2.0601858768635437</v>
      </c>
      <c r="U7" s="47">
        <v>1.9615121063624632</v>
      </c>
      <c r="V7" s="47">
        <v>1.8164569334662759</v>
      </c>
      <c r="W7" s="47">
        <v>2.1671802627625247</v>
      </c>
      <c r="X7" s="47">
        <v>2.2210930450246731</v>
      </c>
      <c r="Y7" s="47">
        <v>2.3280566836622829</v>
      </c>
      <c r="Z7" s="47">
        <v>2.3934500977963711</v>
      </c>
      <c r="AA7" s="47">
        <v>2.4608428674415435</v>
      </c>
      <c r="AB7" s="47">
        <v>2.2937235387632247</v>
      </c>
      <c r="AC7" s="47">
        <v>2.1218949642620148</v>
      </c>
      <c r="AD7" s="47">
        <v>2.0131276774669611</v>
      </c>
      <c r="AE7" s="47">
        <v>2.1794628616363241</v>
      </c>
      <c r="AF7" s="47">
        <v>1.8675787467486185</v>
      </c>
      <c r="AG7" s="47">
        <v>1.4650265919267158</v>
      </c>
      <c r="AH7" s="47">
        <v>0</v>
      </c>
      <c r="AI7" s="47">
        <v>0</v>
      </c>
      <c r="AJ7" s="47">
        <v>0</v>
      </c>
      <c r="AK7" s="47">
        <v>0</v>
      </c>
      <c r="AL7" s="47">
        <v>0</v>
      </c>
      <c r="AM7" s="46"/>
      <c r="AN7" s="46"/>
      <c r="AO7" s="46"/>
      <c r="AP7" s="46"/>
      <c r="AQ7" s="46"/>
    </row>
    <row r="8" spans="1:62">
      <c r="B8" s="224" t="s">
        <v>35</v>
      </c>
      <c r="C8" s="47">
        <v>2.6385808237355035</v>
      </c>
      <c r="D8" s="47">
        <v>2.8868013206392487</v>
      </c>
      <c r="E8" s="47">
        <v>2.5980929576402194</v>
      </c>
      <c r="F8" s="47">
        <v>2.8275634084789205</v>
      </c>
      <c r="G8" s="47">
        <v>2.8660986348961632</v>
      </c>
      <c r="H8" s="47">
        <v>3.0812654119487308</v>
      </c>
      <c r="I8" s="47">
        <v>3.0144757246480274</v>
      </c>
      <c r="J8" s="47">
        <v>2.9911852031870558</v>
      </c>
      <c r="K8" s="47">
        <v>3.1872725732650311</v>
      </c>
      <c r="L8" s="47">
        <v>3.1811558706591199</v>
      </c>
      <c r="M8" s="47">
        <v>3.2225612421452894</v>
      </c>
      <c r="N8" s="47">
        <v>3.356893441682812</v>
      </c>
      <c r="O8" s="47">
        <v>3.5346840375665254</v>
      </c>
      <c r="P8" s="47">
        <v>3.311404369966886</v>
      </c>
      <c r="Q8" s="47">
        <v>3.2559201322677835</v>
      </c>
      <c r="R8" s="47">
        <v>3.5556979369785693</v>
      </c>
      <c r="S8" s="47">
        <v>3.3120820275603928</v>
      </c>
      <c r="T8" s="47">
        <v>3.3462315287127806</v>
      </c>
      <c r="U8" s="47">
        <v>3.1292486478212798</v>
      </c>
      <c r="V8" s="47">
        <v>2.8451698021340217</v>
      </c>
      <c r="W8" s="47">
        <v>2.9441165099655935</v>
      </c>
      <c r="X8" s="47">
        <v>2.6219217278254821</v>
      </c>
      <c r="Y8" s="47">
        <v>2.3891511428488648</v>
      </c>
      <c r="Z8" s="47">
        <v>2.1334174436558184</v>
      </c>
      <c r="AA8" s="47">
        <v>1.900716541018503</v>
      </c>
      <c r="AB8" s="47">
        <v>1.5291490258421498</v>
      </c>
      <c r="AC8" s="47">
        <v>1.4145966428413435</v>
      </c>
      <c r="AD8" s="47">
        <v>1.3420851183113069</v>
      </c>
      <c r="AE8" s="47">
        <v>1.4529752410908829</v>
      </c>
      <c r="AF8" s="47">
        <v>1.2450524978324122</v>
      </c>
      <c r="AG8" s="47">
        <v>0.97668439461781076</v>
      </c>
      <c r="AH8" s="47">
        <v>0</v>
      </c>
      <c r="AI8" s="47">
        <v>0</v>
      </c>
      <c r="AJ8" s="47">
        <v>0</v>
      </c>
      <c r="AK8" s="47">
        <v>0</v>
      </c>
      <c r="AL8" s="47">
        <v>0</v>
      </c>
      <c r="AM8" s="46"/>
      <c r="AN8" s="46"/>
      <c r="AO8" s="46"/>
      <c r="AP8" s="46"/>
      <c r="AQ8" s="46"/>
    </row>
    <row r="9" spans="1:62" ht="13.5" thickBot="1">
      <c r="B9" s="225" t="s">
        <v>36</v>
      </c>
      <c r="C9" s="26">
        <v>10.554323294942014</v>
      </c>
      <c r="D9" s="26">
        <v>11.547205282556995</v>
      </c>
      <c r="E9" s="26">
        <v>10.392371830560878</v>
      </c>
      <c r="F9" s="26">
        <v>11.310253633915682</v>
      </c>
      <c r="G9" s="26">
        <v>11.464394539584653</v>
      </c>
      <c r="H9" s="26">
        <v>12.325061647794923</v>
      </c>
      <c r="I9" s="26">
        <v>12.05790289859211</v>
      </c>
      <c r="J9" s="26">
        <v>11.964740812748223</v>
      </c>
      <c r="K9" s="26">
        <v>12.749090293060124</v>
      </c>
      <c r="L9" s="26">
        <v>12.724623482636479</v>
      </c>
      <c r="M9" s="26">
        <v>12.890244968581158</v>
      </c>
      <c r="N9" s="26">
        <v>13.427573766731248</v>
      </c>
      <c r="O9" s="26">
        <v>14.405900116054752</v>
      </c>
      <c r="P9" s="26">
        <v>13.757767966200557</v>
      </c>
      <c r="Q9" s="26">
        <v>13.796914180971747</v>
      </c>
      <c r="R9" s="26">
        <v>15.375991078826246</v>
      </c>
      <c r="S9" s="26">
        <v>14.952014767834505</v>
      </c>
      <c r="T9" s="26">
        <v>15.766582790332219</v>
      </c>
      <c r="U9" s="26">
        <v>15.385969001158502</v>
      </c>
      <c r="V9" s="26">
        <v>14.595991798860336</v>
      </c>
      <c r="W9" s="26">
        <v>15.644250559280691</v>
      </c>
      <c r="X9" s="26">
        <v>14.479482904683545</v>
      </c>
      <c r="Y9" s="26">
        <v>13.765872587993076</v>
      </c>
      <c r="Z9" s="26">
        <v>12.883863859964045</v>
      </c>
      <c r="AA9" s="26">
        <v>12.096126642067157</v>
      </c>
      <c r="AB9" s="26">
        <v>10.321755924434511</v>
      </c>
      <c r="AC9" s="26">
        <v>9.5485273391790688</v>
      </c>
      <c r="AD9" s="26">
        <v>9.0590745486013198</v>
      </c>
      <c r="AE9" s="26">
        <v>9.8075828773634601</v>
      </c>
      <c r="AF9" s="26">
        <v>8.4041043603687822</v>
      </c>
      <c r="AG9" s="26">
        <v>6.592619663670221</v>
      </c>
      <c r="AH9" s="26">
        <v>0</v>
      </c>
      <c r="AI9" s="26">
        <v>0</v>
      </c>
      <c r="AJ9" s="26">
        <v>0</v>
      </c>
      <c r="AK9" s="26">
        <v>0</v>
      </c>
      <c r="AL9" s="26">
        <v>0</v>
      </c>
      <c r="AM9" s="46"/>
      <c r="AN9" s="46"/>
      <c r="AO9" s="46"/>
      <c r="AP9" s="46"/>
      <c r="AQ9" s="46"/>
    </row>
    <row r="10" spans="1:62">
      <c r="B10" s="270" t="s">
        <v>25</v>
      </c>
      <c r="C10" s="271">
        <f t="shared" ref="C10:L10" si="3">SUM(C11:C20)</f>
        <v>21.287113151301124</v>
      </c>
      <c r="D10" s="271">
        <f t="shared" si="3"/>
        <v>22.254003857996832</v>
      </c>
      <c r="E10" s="271">
        <f t="shared" si="3"/>
        <v>21.202326242871493</v>
      </c>
      <c r="F10" s="271">
        <f t="shared" si="3"/>
        <v>22.87118856124502</v>
      </c>
      <c r="G10" s="271">
        <f t="shared" si="3"/>
        <v>23.806564134052731</v>
      </c>
      <c r="H10" s="271">
        <f t="shared" si="3"/>
        <v>24.672510427127495</v>
      </c>
      <c r="I10" s="271">
        <f t="shared" si="3"/>
        <v>24.882557994614494</v>
      </c>
      <c r="J10" s="271">
        <f t="shared" si="3"/>
        <v>25.341047201330227</v>
      </c>
      <c r="K10" s="271">
        <f t="shared" si="3"/>
        <v>26.304418451449607</v>
      </c>
      <c r="L10" s="271">
        <f t="shared" si="3"/>
        <v>27.642291876349706</v>
      </c>
      <c r="M10" s="271">
        <f>SUM(M11:M20)</f>
        <v>29.012320336333495</v>
      </c>
      <c r="N10" s="271">
        <f t="shared" ref="N10:AG10" si="4">SUM(N11:N20)</f>
        <v>28.916335156979184</v>
      </c>
      <c r="O10" s="271">
        <f t="shared" si="4"/>
        <v>29.286358023390036</v>
      </c>
      <c r="P10" s="271">
        <f t="shared" si="4"/>
        <v>27.052142998619647</v>
      </c>
      <c r="Q10" s="271">
        <f t="shared" si="4"/>
        <v>25.849928627206971</v>
      </c>
      <c r="R10" s="271">
        <f t="shared" si="4"/>
        <v>27.279307923091501</v>
      </c>
      <c r="S10" s="271">
        <f t="shared" si="4"/>
        <v>27.477838604610739</v>
      </c>
      <c r="T10" s="271">
        <f t="shared" si="4"/>
        <v>28.081441537020712</v>
      </c>
      <c r="U10" s="271">
        <f t="shared" si="4"/>
        <v>27.349104185123721</v>
      </c>
      <c r="V10" s="271">
        <f t="shared" si="4"/>
        <v>26.022755423873715</v>
      </c>
      <c r="W10" s="271">
        <f t="shared" si="4"/>
        <v>26.714366175649467</v>
      </c>
      <c r="X10" s="271">
        <f t="shared" si="4"/>
        <v>25.746388239533722</v>
      </c>
      <c r="Y10" s="271">
        <f t="shared" si="4"/>
        <v>25.434855202034591</v>
      </c>
      <c r="Z10" s="271">
        <f t="shared" si="4"/>
        <v>24.626378111796157</v>
      </c>
      <c r="AA10" s="271">
        <f t="shared" si="4"/>
        <v>24.083925386262532</v>
      </c>
      <c r="AB10" s="271">
        <f t="shared" si="4"/>
        <v>21.715988078512542</v>
      </c>
      <c r="AC10" s="271">
        <f t="shared" si="4"/>
        <v>19.730710460520275</v>
      </c>
      <c r="AD10" s="271">
        <f t="shared" si="4"/>
        <v>19.335759068844581</v>
      </c>
      <c r="AE10" s="271">
        <f t="shared" si="4"/>
        <v>19.67860396935221</v>
      </c>
      <c r="AF10" s="271">
        <f t="shared" si="4"/>
        <v>17.095557205534661</v>
      </c>
      <c r="AG10" s="271">
        <f t="shared" si="4"/>
        <v>12.123896221533265</v>
      </c>
      <c r="AH10" s="271">
        <f t="shared" ref="AH10:AL10" si="5">SUM(AH11:AH20)</f>
        <v>0</v>
      </c>
      <c r="AI10" s="271">
        <f t="shared" si="5"/>
        <v>0</v>
      </c>
      <c r="AJ10" s="271">
        <f t="shared" si="5"/>
        <v>0</v>
      </c>
      <c r="AK10" s="271">
        <f t="shared" si="5"/>
        <v>0</v>
      </c>
      <c r="AL10" s="271">
        <f t="shared" si="5"/>
        <v>0</v>
      </c>
      <c r="AM10" s="46"/>
      <c r="AN10" s="46"/>
      <c r="AO10" s="46"/>
      <c r="AP10" s="46"/>
      <c r="AQ10" s="46"/>
    </row>
    <row r="11" spans="1:62">
      <c r="B11" s="224" t="s">
        <v>32</v>
      </c>
      <c r="C11" s="47">
        <v>1.3587519032745401</v>
      </c>
      <c r="D11" s="47">
        <v>1.4204683313615001</v>
      </c>
      <c r="E11" s="47">
        <v>1.3533399729492444</v>
      </c>
      <c r="F11" s="47">
        <v>1.4598630996539375</v>
      </c>
      <c r="G11" s="47">
        <v>1.519567923450174</v>
      </c>
      <c r="H11" s="47">
        <v>1.5748410910932442</v>
      </c>
      <c r="I11" s="47">
        <v>1.5882483826349671</v>
      </c>
      <c r="J11" s="47">
        <v>1.6175136511487376</v>
      </c>
      <c r="K11" s="47">
        <v>1.6790054330712514</v>
      </c>
      <c r="L11" s="47">
        <v>1.7644016091287047</v>
      </c>
      <c r="M11" s="47">
        <v>1.8518502342340526</v>
      </c>
      <c r="N11" s="47">
        <v>1.8457235206582456</v>
      </c>
      <c r="O11" s="47">
        <v>1.8693420014929809</v>
      </c>
      <c r="P11" s="219">
        <v>1.7267325318267861</v>
      </c>
      <c r="Q11" s="47">
        <v>1.5474075972404029</v>
      </c>
      <c r="R11" s="47">
        <v>1.5247114770499461</v>
      </c>
      <c r="S11" s="47">
        <v>1.4267595139766263</v>
      </c>
      <c r="T11" s="47">
        <v>1.3466571838511643</v>
      </c>
      <c r="U11" s="47">
        <v>1.2030001774443226</v>
      </c>
      <c r="V11" s="47">
        <v>1.0413845843100789</v>
      </c>
      <c r="W11" s="47">
        <v>0.96304317382001736</v>
      </c>
      <c r="X11" s="47">
        <v>0.82597098428118543</v>
      </c>
      <c r="Y11" s="47">
        <v>0.71503609001703683</v>
      </c>
      <c r="Z11" s="47">
        <v>0.69230781840390798</v>
      </c>
      <c r="AA11" s="47">
        <v>0.67705814338890657</v>
      </c>
      <c r="AB11" s="47">
        <v>0.61048962469713974</v>
      </c>
      <c r="AC11" s="47">
        <v>0.55467860732386309</v>
      </c>
      <c r="AD11" s="47">
        <v>0.54357555615225728</v>
      </c>
      <c r="AE11" s="47">
        <v>0.55321376620668872</v>
      </c>
      <c r="AF11" s="47">
        <v>0.48059799372988993</v>
      </c>
      <c r="AG11" s="47">
        <v>0.34083242389852542</v>
      </c>
      <c r="AH11" s="47">
        <v>0</v>
      </c>
      <c r="AI11" s="47">
        <v>0</v>
      </c>
      <c r="AJ11" s="47">
        <v>0</v>
      </c>
      <c r="AK11" s="47">
        <v>0</v>
      </c>
      <c r="AL11" s="47">
        <v>0</v>
      </c>
      <c r="AM11" s="46"/>
      <c r="AN11" s="46"/>
      <c r="AO11" s="46"/>
      <c r="AP11" s="46"/>
      <c r="AQ11" s="46"/>
    </row>
    <row r="12" spans="1:62">
      <c r="B12" s="224" t="s">
        <v>37</v>
      </c>
      <c r="C12" s="47">
        <v>1.5399188237111454</v>
      </c>
      <c r="D12" s="47">
        <v>1.6098641088763668</v>
      </c>
      <c r="E12" s="47">
        <v>1.5337853026758097</v>
      </c>
      <c r="F12" s="47">
        <v>1.6545115129411292</v>
      </c>
      <c r="G12" s="47">
        <v>1.7221769799101971</v>
      </c>
      <c r="H12" s="47">
        <v>1.7848199032390097</v>
      </c>
      <c r="I12" s="47">
        <v>1.8000148336529636</v>
      </c>
      <c r="J12" s="47">
        <v>1.8331821379685695</v>
      </c>
      <c r="K12" s="47">
        <v>1.9028728241474189</v>
      </c>
      <c r="L12" s="47">
        <v>1.9996551570125314</v>
      </c>
      <c r="M12" s="47">
        <v>2.0987635987985933</v>
      </c>
      <c r="N12" s="47">
        <v>2.0918199900793448</v>
      </c>
      <c r="O12" s="47">
        <v>2.1185876016920449</v>
      </c>
      <c r="P12" s="219">
        <v>1.9569635360703577</v>
      </c>
      <c r="Q12" s="47">
        <v>1.9851975531416606</v>
      </c>
      <c r="R12" s="47">
        <v>2.2165425111073289</v>
      </c>
      <c r="S12" s="47">
        <v>2.3551315027199475</v>
      </c>
      <c r="T12" s="47">
        <v>2.5320141110739471</v>
      </c>
      <c r="U12" s="47">
        <v>2.5878655230911076</v>
      </c>
      <c r="V12" s="47">
        <v>2.5783348149331244</v>
      </c>
      <c r="W12" s="47">
        <v>2.765914779863591</v>
      </c>
      <c r="X12" s="47">
        <v>2.7804349090869418</v>
      </c>
      <c r="Y12" s="47">
        <v>2.8601443600681473</v>
      </c>
      <c r="Z12" s="47">
        <v>2.7692312736156319</v>
      </c>
      <c r="AA12" s="47">
        <v>2.7082325735556263</v>
      </c>
      <c r="AB12" s="47">
        <v>2.441958498788559</v>
      </c>
      <c r="AC12" s="47">
        <v>2.2187144292954524</v>
      </c>
      <c r="AD12" s="47">
        <v>2.1743022246090291</v>
      </c>
      <c r="AE12" s="47">
        <v>2.2128550648267549</v>
      </c>
      <c r="AF12" s="47">
        <v>1.9223919749195597</v>
      </c>
      <c r="AG12" s="47">
        <v>1.3633296955941017</v>
      </c>
      <c r="AH12" s="47">
        <v>0</v>
      </c>
      <c r="AI12" s="47">
        <v>0</v>
      </c>
      <c r="AJ12" s="47">
        <v>0</v>
      </c>
      <c r="AK12" s="47">
        <v>0</v>
      </c>
      <c r="AL12" s="47">
        <v>0</v>
      </c>
      <c r="AM12" s="46"/>
      <c r="AN12" s="46"/>
      <c r="AO12" s="46"/>
      <c r="AP12" s="46"/>
      <c r="AQ12" s="46"/>
    </row>
    <row r="13" spans="1:62">
      <c r="B13" s="224" t="s">
        <v>38</v>
      </c>
      <c r="C13" s="47">
        <v>2.8986707269856851</v>
      </c>
      <c r="D13" s="47">
        <v>3.0303324402378671</v>
      </c>
      <c r="E13" s="47">
        <v>2.8871252756250549</v>
      </c>
      <c r="F13" s="47">
        <v>3.1143746125950664</v>
      </c>
      <c r="G13" s="47">
        <v>3.2417449033603711</v>
      </c>
      <c r="H13" s="47">
        <v>3.3596609943322537</v>
      </c>
      <c r="I13" s="47">
        <v>3.3882632162879309</v>
      </c>
      <c r="J13" s="47">
        <v>3.4506957891173067</v>
      </c>
      <c r="K13" s="47">
        <v>3.5818782572186705</v>
      </c>
      <c r="L13" s="47">
        <v>3.7640567661412376</v>
      </c>
      <c r="M13" s="47">
        <v>3.9506138330326461</v>
      </c>
      <c r="N13" s="47">
        <v>3.9375435107375916</v>
      </c>
      <c r="O13" s="47">
        <v>3.9879296031850253</v>
      </c>
      <c r="P13" s="219">
        <v>3.6836960678971438</v>
      </c>
      <c r="Q13" s="47">
        <v>3.6018151333196995</v>
      </c>
      <c r="R13" s="47">
        <v>3.8873279261657983</v>
      </c>
      <c r="S13" s="47">
        <v>4.0025965476573031</v>
      </c>
      <c r="T13" s="47">
        <v>4.1794096246388541</v>
      </c>
      <c r="U13" s="47">
        <v>4.1569848998008068</v>
      </c>
      <c r="V13" s="47">
        <v>4.0377556309520184</v>
      </c>
      <c r="W13" s="47">
        <v>4.2296288057038138</v>
      </c>
      <c r="X13" s="47">
        <v>4.1578680243353823</v>
      </c>
      <c r="Y13" s="47">
        <v>4.1880685272426428</v>
      </c>
      <c r="Z13" s="47">
        <v>4.0549457935086037</v>
      </c>
      <c r="AA13" s="47">
        <v>3.9656262684207371</v>
      </c>
      <c r="AB13" s="47">
        <v>3.5757249446546755</v>
      </c>
      <c r="AC13" s="47">
        <v>3.2488318428969132</v>
      </c>
      <c r="AD13" s="47">
        <v>3.1837996860346496</v>
      </c>
      <c r="AE13" s="47">
        <v>3.2402520592106052</v>
      </c>
      <c r="AF13" s="47">
        <v>2.8149311061322129</v>
      </c>
      <c r="AG13" s="47">
        <v>1.9963041971199347</v>
      </c>
      <c r="AH13" s="47">
        <v>0</v>
      </c>
      <c r="AI13" s="47">
        <v>0</v>
      </c>
      <c r="AJ13" s="47">
        <v>0</v>
      </c>
      <c r="AK13" s="47">
        <v>0</v>
      </c>
      <c r="AL13" s="47">
        <v>0</v>
      </c>
      <c r="AM13" s="46"/>
      <c r="AN13" s="46"/>
      <c r="AO13" s="46"/>
      <c r="AP13" s="46"/>
      <c r="AQ13" s="46"/>
    </row>
    <row r="14" spans="1:62">
      <c r="B14" s="224" t="s">
        <v>34</v>
      </c>
      <c r="C14" s="47">
        <v>0.36233384087321063</v>
      </c>
      <c r="D14" s="47">
        <v>0.37879155502973338</v>
      </c>
      <c r="E14" s="47">
        <v>0.36089065945313187</v>
      </c>
      <c r="F14" s="47">
        <v>0.3892968265743833</v>
      </c>
      <c r="G14" s="47">
        <v>0.40521811292004639</v>
      </c>
      <c r="H14" s="47">
        <v>0.41995762429153172</v>
      </c>
      <c r="I14" s="47">
        <v>0.42353290203599137</v>
      </c>
      <c r="J14" s="47">
        <v>0.43133697363966333</v>
      </c>
      <c r="K14" s="47">
        <v>0.44773478215233381</v>
      </c>
      <c r="L14" s="47">
        <v>0.4705070957676547</v>
      </c>
      <c r="M14" s="47">
        <v>0.49382672912908077</v>
      </c>
      <c r="N14" s="47">
        <v>0.49219293884219895</v>
      </c>
      <c r="O14" s="47">
        <v>0.49849120039812816</v>
      </c>
      <c r="P14" s="47">
        <v>0.46046200848714297</v>
      </c>
      <c r="Q14" s="47">
        <v>0.40264502839533794</v>
      </c>
      <c r="R14" s="47">
        <v>0.38549015838986583</v>
      </c>
      <c r="S14" s="47">
        <v>0.34858951592166187</v>
      </c>
      <c r="T14" s="47">
        <v>0.31566860140165898</v>
      </c>
      <c r="U14" s="47">
        <v>0.26791616298015392</v>
      </c>
      <c r="V14" s="47">
        <v>0.21731954456919245</v>
      </c>
      <c r="W14" s="47">
        <v>0.18449238994908645</v>
      </c>
      <c r="X14" s="47">
        <v>0.140603288001935</v>
      </c>
      <c r="Y14" s="47">
        <v>0.10214801285957667</v>
      </c>
      <c r="Z14" s="47">
        <v>9.8901116914843989E-2</v>
      </c>
      <c r="AA14" s="47">
        <v>9.6722591912700911E-2</v>
      </c>
      <c r="AB14" s="47">
        <v>8.7212803528162811E-2</v>
      </c>
      <c r="AC14" s="47">
        <v>7.9239801046266156E-2</v>
      </c>
      <c r="AD14" s="47">
        <v>7.7653650878893907E-2</v>
      </c>
      <c r="AE14" s="47">
        <v>7.9030538029526962E-2</v>
      </c>
      <c r="AF14" s="47">
        <v>6.865685624712714E-2</v>
      </c>
      <c r="AG14" s="24">
        <v>4.8690346271217926E-2</v>
      </c>
      <c r="AH14" s="24">
        <v>0</v>
      </c>
      <c r="AI14" s="24">
        <v>0</v>
      </c>
      <c r="AJ14" s="24">
        <v>0</v>
      </c>
      <c r="AK14" s="24">
        <v>0</v>
      </c>
      <c r="AL14" s="24">
        <v>0</v>
      </c>
      <c r="AM14" s="46"/>
      <c r="AN14" s="46"/>
      <c r="AO14" s="46"/>
      <c r="AP14" s="46"/>
      <c r="AQ14" s="46"/>
    </row>
    <row r="15" spans="1:62">
      <c r="B15" s="224" t="s">
        <v>39</v>
      </c>
      <c r="C15" s="47">
        <v>8.3336783400838463</v>
      </c>
      <c r="D15" s="47">
        <v>8.7122057656838656</v>
      </c>
      <c r="E15" s="47">
        <v>8.3004851674220301</v>
      </c>
      <c r="F15" s="47">
        <v>8.9538270112108176</v>
      </c>
      <c r="G15" s="47">
        <v>9.320016597161068</v>
      </c>
      <c r="H15" s="47">
        <v>9.6590253587052324</v>
      </c>
      <c r="I15" s="47">
        <v>9.7412567468278013</v>
      </c>
      <c r="J15" s="47">
        <v>9.9207503937122574</v>
      </c>
      <c r="K15" s="47">
        <v>10.297899989503676</v>
      </c>
      <c r="L15" s="47">
        <v>10.821663202656053</v>
      </c>
      <c r="M15" s="47">
        <v>11.358014769968859</v>
      </c>
      <c r="N15" s="47">
        <v>11.320437593370574</v>
      </c>
      <c r="O15" s="47">
        <v>11.46529760915695</v>
      </c>
      <c r="P15" s="47">
        <v>10.590626195204287</v>
      </c>
      <c r="Q15" s="47">
        <v>9.5261405876870437</v>
      </c>
      <c r="R15" s="47">
        <v>9.4262237386662502</v>
      </c>
      <c r="S15" s="47">
        <v>8.8635967348810158</v>
      </c>
      <c r="T15" s="47">
        <v>8.4132080961408331</v>
      </c>
      <c r="U15" s="47">
        <v>7.5655286790608178</v>
      </c>
      <c r="V15" s="47">
        <v>6.6008217466418806</v>
      </c>
      <c r="W15" s="47">
        <v>6.1625632349064334</v>
      </c>
      <c r="X15" s="47">
        <v>5.3478137927523131</v>
      </c>
      <c r="Y15" s="47">
        <v>4.6988085915405264</v>
      </c>
      <c r="Z15" s="47">
        <v>4.5494513780828241</v>
      </c>
      <c r="AA15" s="47">
        <v>4.4492392279842434</v>
      </c>
      <c r="AB15" s="47">
        <v>4.0117889622954896</v>
      </c>
      <c r="AC15" s="47">
        <v>3.6450308481282438</v>
      </c>
      <c r="AD15" s="47">
        <v>3.5720679404291196</v>
      </c>
      <c r="AE15" s="47">
        <v>3.6354047493582393</v>
      </c>
      <c r="AF15" s="47">
        <v>3.1582153873678482</v>
      </c>
      <c r="AG15" s="47">
        <v>2.2397559284760247</v>
      </c>
      <c r="AH15" s="47">
        <v>0</v>
      </c>
      <c r="AI15" s="47">
        <v>0</v>
      </c>
      <c r="AJ15" s="47">
        <v>0</v>
      </c>
      <c r="AK15" s="47">
        <v>0</v>
      </c>
      <c r="AL15" s="47">
        <v>0</v>
      </c>
      <c r="AM15" s="46"/>
      <c r="AN15" s="46"/>
      <c r="AO15" s="46"/>
      <c r="AP15" s="46"/>
      <c r="AQ15" s="46"/>
    </row>
    <row r="16" spans="1:62">
      <c r="B16" s="224" t="s">
        <v>40</v>
      </c>
      <c r="C16" s="47">
        <v>0.18116692043660532</v>
      </c>
      <c r="D16" s="47">
        <v>0.18939577751486669</v>
      </c>
      <c r="E16" s="47">
        <v>0.18044532972656593</v>
      </c>
      <c r="F16" s="47">
        <v>0.19464841328719165</v>
      </c>
      <c r="G16" s="47">
        <v>0.2026090564600232</v>
      </c>
      <c r="H16" s="47">
        <v>0.20997881214576586</v>
      </c>
      <c r="I16" s="47">
        <v>0.21176645101799568</v>
      </c>
      <c r="J16" s="47">
        <v>0.21566848681983167</v>
      </c>
      <c r="K16" s="47">
        <v>0.22386739107616691</v>
      </c>
      <c r="L16" s="47">
        <v>0.23525354788382735</v>
      </c>
      <c r="M16" s="47">
        <v>0.24691336456454038</v>
      </c>
      <c r="N16" s="47">
        <v>0.24609646942109947</v>
      </c>
      <c r="O16" s="47">
        <v>0.24924560019906408</v>
      </c>
      <c r="P16" s="47">
        <v>0.23023100424357149</v>
      </c>
      <c r="Q16" s="47">
        <v>0.27629999571344105</v>
      </c>
      <c r="R16" s="47">
        <v>0.35099184537083189</v>
      </c>
      <c r="S16" s="47">
        <v>0.41339241650162051</v>
      </c>
      <c r="T16" s="47">
        <v>0.48363415789071718</v>
      </c>
      <c r="U16" s="47">
        <v>0.53058721402756959</v>
      </c>
      <c r="V16" s="47">
        <v>0.56153235663581225</v>
      </c>
      <c r="W16" s="47">
        <v>0.63463961799643098</v>
      </c>
      <c r="X16" s="47">
        <v>0.66771895254882752</v>
      </c>
      <c r="Y16" s="47">
        <v>0.71503609001703683</v>
      </c>
      <c r="Z16" s="47">
        <v>0.69230781840390798</v>
      </c>
      <c r="AA16" s="47">
        <v>0.67705814338890657</v>
      </c>
      <c r="AB16" s="47">
        <v>0.61048962469713974</v>
      </c>
      <c r="AC16" s="47">
        <v>0.55467860732386309</v>
      </c>
      <c r="AD16" s="47">
        <v>0.54357555615225728</v>
      </c>
      <c r="AE16" s="47">
        <v>0.55321376620668872</v>
      </c>
      <c r="AF16" s="47">
        <v>0.48059799372988993</v>
      </c>
      <c r="AG16" s="47">
        <v>0.34083242389852542</v>
      </c>
      <c r="AH16" s="47">
        <v>0</v>
      </c>
      <c r="AI16" s="47">
        <v>0</v>
      </c>
      <c r="AJ16" s="47">
        <v>0</v>
      </c>
      <c r="AK16" s="47">
        <v>0</v>
      </c>
      <c r="AL16" s="47">
        <v>0</v>
      </c>
      <c r="AM16" s="46"/>
      <c r="AN16" s="46"/>
      <c r="AO16" s="46"/>
      <c r="AP16" s="46"/>
      <c r="AQ16" s="46"/>
    </row>
    <row r="17" spans="2:43">
      <c r="B17" s="224" t="s">
        <v>35</v>
      </c>
      <c r="C17" s="47">
        <v>2.4457534258941722</v>
      </c>
      <c r="D17" s="47">
        <v>2.5568429964507002</v>
      </c>
      <c r="E17" s="47">
        <v>2.4360119513086391</v>
      </c>
      <c r="F17" s="47">
        <v>2.6277535793770874</v>
      </c>
      <c r="G17" s="47">
        <v>2.7352222622103133</v>
      </c>
      <c r="H17" s="47">
        <v>2.8347139639678387</v>
      </c>
      <c r="I17" s="47">
        <v>2.8588470887429427</v>
      </c>
      <c r="J17" s="47">
        <v>2.9115245720677283</v>
      </c>
      <c r="K17" s="47">
        <v>3.0222097795282528</v>
      </c>
      <c r="L17" s="47">
        <v>3.1759228964316684</v>
      </c>
      <c r="M17" s="47">
        <v>3.3333304216212949</v>
      </c>
      <c r="N17" s="47">
        <v>3.3223023371848428</v>
      </c>
      <c r="O17" s="47">
        <v>3.364815602687365</v>
      </c>
      <c r="P17" s="47">
        <v>3.1081185572882148</v>
      </c>
      <c r="Q17" s="47">
        <v>3.0667876056457781</v>
      </c>
      <c r="R17" s="47">
        <v>3.338514673257893</v>
      </c>
      <c r="S17" s="47">
        <v>3.4657029510648925</v>
      </c>
      <c r="T17" s="47">
        <v>3.6469854717679828</v>
      </c>
      <c r="U17" s="47">
        <v>3.6542850630789858</v>
      </c>
      <c r="V17" s="47">
        <v>3.5745062607073237</v>
      </c>
      <c r="W17" s="47">
        <v>3.769539177758197</v>
      </c>
      <c r="X17" s="47">
        <v>3.7293604376396412</v>
      </c>
      <c r="Y17" s="47">
        <v>3.7794764758043362</v>
      </c>
      <c r="Z17" s="47">
        <v>3.659341325849228</v>
      </c>
      <c r="AA17" s="47">
        <v>3.5787359007699338</v>
      </c>
      <c r="AB17" s="47">
        <v>3.2268737305420236</v>
      </c>
      <c r="AC17" s="47">
        <v>2.9318726387118481</v>
      </c>
      <c r="AD17" s="47">
        <v>2.8731850825190746</v>
      </c>
      <c r="AE17" s="47">
        <v>2.9241299070924978</v>
      </c>
      <c r="AF17" s="47">
        <v>2.5403036811437048</v>
      </c>
      <c r="AG17" s="47">
        <v>1.8015428120350632</v>
      </c>
      <c r="AH17" s="47">
        <v>0</v>
      </c>
      <c r="AI17" s="47">
        <v>0</v>
      </c>
      <c r="AJ17" s="47">
        <v>0</v>
      </c>
      <c r="AK17" s="47">
        <v>0</v>
      </c>
      <c r="AL17" s="47">
        <v>0</v>
      </c>
      <c r="AM17" s="46"/>
      <c r="AN17" s="46"/>
      <c r="AO17" s="46"/>
      <c r="AP17" s="46"/>
      <c r="AQ17" s="46"/>
    </row>
    <row r="18" spans="2:43">
      <c r="B18" s="224" t="s">
        <v>41</v>
      </c>
      <c r="C18" s="47">
        <v>0.45291730109151335</v>
      </c>
      <c r="D18" s="47">
        <v>0.47348944378716668</v>
      </c>
      <c r="E18" s="47">
        <v>0.45111332431641471</v>
      </c>
      <c r="F18" s="47">
        <v>0.48662103321797912</v>
      </c>
      <c r="G18" s="47">
        <v>0.50652264115005796</v>
      </c>
      <c r="H18" s="47">
        <v>0.5249470303644147</v>
      </c>
      <c r="I18" s="47">
        <v>0.52941612754498912</v>
      </c>
      <c r="J18" s="47">
        <v>0.53917121704957927</v>
      </c>
      <c r="K18" s="47">
        <v>0.55966847769041728</v>
      </c>
      <c r="L18" s="47">
        <v>0.58813386970956816</v>
      </c>
      <c r="M18" s="47">
        <v>0.6172834114113509</v>
      </c>
      <c r="N18" s="47">
        <v>0.61524117355274865</v>
      </c>
      <c r="O18" s="47">
        <v>0.6231140004976603</v>
      </c>
      <c r="P18" s="47">
        <v>0.5755775106089287</v>
      </c>
      <c r="Q18" s="47">
        <v>0.60423751061155795</v>
      </c>
      <c r="R18" s="47">
        <v>0.69488719091642703</v>
      </c>
      <c r="S18" s="47">
        <v>0.75759912755314041</v>
      </c>
      <c r="T18" s="47">
        <v>0.83316248258461489</v>
      </c>
      <c r="U18" s="47">
        <v>0.86881903598720156</v>
      </c>
      <c r="V18" s="47">
        <v>0.88128560195351191</v>
      </c>
      <c r="W18" s="47">
        <v>0.96076047996582259</v>
      </c>
      <c r="X18" s="47">
        <v>0.97996971766299934</v>
      </c>
      <c r="Y18" s="47">
        <v>1.0214801285957669</v>
      </c>
      <c r="Z18" s="47">
        <v>0.98901116914844012</v>
      </c>
      <c r="AA18" s="47">
        <v>0.96722591912700895</v>
      </c>
      <c r="AB18" s="47">
        <v>0.87212803528162808</v>
      </c>
      <c r="AC18" s="47">
        <v>0.79239801046266178</v>
      </c>
      <c r="AD18" s="47">
        <v>0.77653650878893909</v>
      </c>
      <c r="AE18" s="47">
        <v>0.79030538029526964</v>
      </c>
      <c r="AF18" s="47">
        <v>0.68656856247127152</v>
      </c>
      <c r="AG18" s="47">
        <v>0.48690346271217938</v>
      </c>
      <c r="AH18" s="47">
        <v>0</v>
      </c>
      <c r="AI18" s="47">
        <v>0</v>
      </c>
      <c r="AJ18" s="47">
        <v>0</v>
      </c>
      <c r="AK18" s="47">
        <v>0</v>
      </c>
      <c r="AL18" s="47">
        <v>0</v>
      </c>
      <c r="AM18" s="46"/>
      <c r="AN18" s="46"/>
      <c r="AO18" s="46"/>
      <c r="AP18" s="46"/>
      <c r="AQ18" s="46"/>
    </row>
    <row r="19" spans="2:43">
      <c r="B19" s="224" t="s">
        <v>42</v>
      </c>
      <c r="C19" s="47">
        <v>0.99641806240132957</v>
      </c>
      <c r="D19" s="47">
        <v>1.0416767763317665</v>
      </c>
      <c r="E19" s="47">
        <v>0.99244931349611221</v>
      </c>
      <c r="F19" s="47">
        <v>1.0705662730795542</v>
      </c>
      <c r="G19" s="47">
        <v>1.1143498105301279</v>
      </c>
      <c r="H19" s="47">
        <v>1.1548834668017123</v>
      </c>
      <c r="I19" s="47">
        <v>1.1647154805989759</v>
      </c>
      <c r="J19" s="47">
        <v>1.1861766775090741</v>
      </c>
      <c r="K19" s="47">
        <v>1.231270650918918</v>
      </c>
      <c r="L19" s="47">
        <v>1.2938945133610502</v>
      </c>
      <c r="M19" s="47">
        <v>1.3580235051049721</v>
      </c>
      <c r="N19" s="47">
        <v>1.353530581816047</v>
      </c>
      <c r="O19" s="47">
        <v>1.3708508010948526</v>
      </c>
      <c r="P19" s="47">
        <v>1.2662705233396432</v>
      </c>
      <c r="Q19" s="47">
        <v>1.3408575205016999</v>
      </c>
      <c r="R19" s="47">
        <v>1.5530974763508929</v>
      </c>
      <c r="S19" s="47">
        <v>1.7035023357770298</v>
      </c>
      <c r="T19" s="47">
        <v>1.8830805166384426</v>
      </c>
      <c r="U19" s="47">
        <v>1.9724217457160733</v>
      </c>
      <c r="V19" s="47">
        <v>2.0085010295825287</v>
      </c>
      <c r="W19" s="47">
        <v>2.1971181979281766</v>
      </c>
      <c r="X19" s="47">
        <v>2.2478437340198076</v>
      </c>
      <c r="Y19" s="47">
        <v>2.3494042957702632</v>
      </c>
      <c r="Z19" s="47">
        <v>2.274725689041412</v>
      </c>
      <c r="AA19" s="47">
        <v>2.2246196139921217</v>
      </c>
      <c r="AB19" s="47">
        <v>2.0058944811477448</v>
      </c>
      <c r="AC19" s="47">
        <v>1.8225154240641219</v>
      </c>
      <c r="AD19" s="47">
        <v>1.7860339702145598</v>
      </c>
      <c r="AE19" s="47">
        <v>1.8177023746791197</v>
      </c>
      <c r="AF19" s="47">
        <v>1.5791076936839241</v>
      </c>
      <c r="AG19" s="47">
        <v>1.1198779642380123</v>
      </c>
      <c r="AH19" s="47">
        <v>0</v>
      </c>
      <c r="AI19" s="47">
        <v>0</v>
      </c>
      <c r="AJ19" s="47">
        <v>0</v>
      </c>
      <c r="AK19" s="47">
        <v>0</v>
      </c>
      <c r="AL19" s="47">
        <v>0</v>
      </c>
      <c r="AM19" s="46"/>
      <c r="AN19" s="46"/>
      <c r="AO19" s="46"/>
      <c r="AP19" s="46"/>
      <c r="AQ19" s="46"/>
    </row>
    <row r="20" spans="2:43" ht="13.5" thickBot="1">
      <c r="B20" s="225" t="s">
        <v>24</v>
      </c>
      <c r="C20" s="26">
        <v>2.7175038065490802</v>
      </c>
      <c r="D20" s="26">
        <v>2.8409366627230002</v>
      </c>
      <c r="E20" s="26">
        <v>2.7066799458984887</v>
      </c>
      <c r="F20" s="26">
        <v>2.9197261993078749</v>
      </c>
      <c r="G20" s="26">
        <v>3.039135846900348</v>
      </c>
      <c r="H20" s="26">
        <v>3.1496821821864884</v>
      </c>
      <c r="I20" s="26">
        <v>3.1764967652699343</v>
      </c>
      <c r="J20" s="26">
        <v>3.2350273022974751</v>
      </c>
      <c r="K20" s="26">
        <v>3.3580108661425028</v>
      </c>
      <c r="L20" s="26">
        <v>3.5288032182574094</v>
      </c>
      <c r="M20" s="26">
        <v>3.7037004684681052</v>
      </c>
      <c r="N20" s="26">
        <v>3.6914470413164913</v>
      </c>
      <c r="O20" s="26">
        <v>3.7386840029859618</v>
      </c>
      <c r="P20" s="26">
        <v>3.4534650636535722</v>
      </c>
      <c r="Q20" s="26">
        <v>3.4985400949503491</v>
      </c>
      <c r="R20" s="26">
        <v>3.9015209258162709</v>
      </c>
      <c r="S20" s="26">
        <v>4.1409679585575052</v>
      </c>
      <c r="T20" s="26">
        <v>4.447621291032493</v>
      </c>
      <c r="U20" s="26">
        <v>4.5416956839366831</v>
      </c>
      <c r="V20" s="26">
        <v>4.521313853588242</v>
      </c>
      <c r="W20" s="26">
        <v>4.8466663177578937</v>
      </c>
      <c r="X20" s="26">
        <v>4.8688043992046923</v>
      </c>
      <c r="Y20" s="26">
        <v>5.0052526301192577</v>
      </c>
      <c r="Z20" s="26">
        <v>4.8461547288273561</v>
      </c>
      <c r="AA20" s="26">
        <v>4.7394070037223459</v>
      </c>
      <c r="AB20" s="26">
        <v>4.2734273728799783</v>
      </c>
      <c r="AC20" s="26">
        <v>3.8827502512670415</v>
      </c>
      <c r="AD20" s="26">
        <v>3.8050288930658023</v>
      </c>
      <c r="AE20" s="26">
        <v>3.872496363446821</v>
      </c>
      <c r="AF20" s="26">
        <v>3.3641859561092309</v>
      </c>
      <c r="AG20" s="26">
        <v>2.3858269672896784</v>
      </c>
      <c r="AH20" s="26">
        <v>0</v>
      </c>
      <c r="AI20" s="26">
        <v>0</v>
      </c>
      <c r="AJ20" s="26">
        <v>0</v>
      </c>
      <c r="AK20" s="26">
        <v>0</v>
      </c>
      <c r="AL20" s="26">
        <v>0</v>
      </c>
      <c r="AM20" s="46"/>
      <c r="AN20" s="46"/>
      <c r="AO20" s="46"/>
      <c r="AP20" s="46"/>
      <c r="AQ20" s="46"/>
    </row>
    <row r="21" spans="2:43">
      <c r="B21" s="272" t="s">
        <v>26</v>
      </c>
      <c r="C21" s="273">
        <f t="shared" ref="C21:L21" si="6">SUM(C22,C25,C31,C37)</f>
        <v>21.450607906801288</v>
      </c>
      <c r="D21" s="273">
        <f t="shared" si="6"/>
        <v>21.676333053582837</v>
      </c>
      <c r="E21" s="273">
        <f t="shared" si="6"/>
        <v>22.323753088327628</v>
      </c>
      <c r="F21" s="273">
        <f t="shared" si="6"/>
        <v>21.969567776510242</v>
      </c>
      <c r="G21" s="273">
        <f t="shared" si="6"/>
        <v>22.796960022544361</v>
      </c>
      <c r="H21" s="273">
        <f t="shared" si="6"/>
        <v>23.062039092861166</v>
      </c>
      <c r="I21" s="273">
        <f t="shared" si="6"/>
        <v>23.156104568628379</v>
      </c>
      <c r="J21" s="273">
        <f t="shared" si="6"/>
        <v>23.381989690708853</v>
      </c>
      <c r="K21" s="273">
        <f t="shared" si="6"/>
        <v>23.676824166625494</v>
      </c>
      <c r="L21" s="273">
        <f t="shared" si="6"/>
        <v>22.909742608285665</v>
      </c>
      <c r="M21" s="273">
        <f>SUM(M22,M25,M31,M37)</f>
        <v>22.346149630176964</v>
      </c>
      <c r="N21" s="273">
        <f t="shared" ref="N21:AG21" si="7">SUM(N22,N25,N31,N37)</f>
        <v>22.259123067562403</v>
      </c>
      <c r="O21" s="273">
        <f t="shared" si="7"/>
        <v>21.444528845442189</v>
      </c>
      <c r="P21" s="273">
        <f t="shared" si="7"/>
        <v>23.493812424656614</v>
      </c>
      <c r="Q21" s="273">
        <f t="shared" si="7"/>
        <v>26.204433889622202</v>
      </c>
      <c r="R21" s="273">
        <f t="shared" si="7"/>
        <v>25.047492527804966</v>
      </c>
      <c r="S21" s="273">
        <f t="shared" si="7"/>
        <v>24.376515344738554</v>
      </c>
      <c r="T21" s="273">
        <f t="shared" si="7"/>
        <v>24.513144469682757</v>
      </c>
      <c r="U21" s="273">
        <f t="shared" si="7"/>
        <v>24.038246321464179</v>
      </c>
      <c r="V21" s="273">
        <f t="shared" si="7"/>
        <v>21.461427364973055</v>
      </c>
      <c r="W21" s="273">
        <f t="shared" si="7"/>
        <v>22.945367059530998</v>
      </c>
      <c r="X21" s="273">
        <f t="shared" si="7"/>
        <v>22.877305480087205</v>
      </c>
      <c r="Y21" s="273">
        <f t="shared" si="7"/>
        <v>22.666257927840917</v>
      </c>
      <c r="Z21" s="273">
        <f t="shared" si="7"/>
        <v>21.656992865087449</v>
      </c>
      <c r="AA21" s="273">
        <f t="shared" si="7"/>
        <v>21.091318401799317</v>
      </c>
      <c r="AB21" s="273">
        <f t="shared" si="7"/>
        <v>18.61348723934314</v>
      </c>
      <c r="AC21" s="273">
        <f t="shared" si="7"/>
        <v>16.909992963234075</v>
      </c>
      <c r="AD21" s="273">
        <f t="shared" si="7"/>
        <v>16.621413420797012</v>
      </c>
      <c r="AE21" s="273">
        <f t="shared" si="7"/>
        <v>17.101342302748368</v>
      </c>
      <c r="AF21" s="273">
        <f t="shared" si="7"/>
        <v>15.004302823128217</v>
      </c>
      <c r="AG21" s="273">
        <f t="shared" si="7"/>
        <v>10.758083067298163</v>
      </c>
      <c r="AH21" s="273">
        <f t="shared" ref="AH21:AL21" si="8">SUM(AH22,AH25,AH31,AH37)</f>
        <v>0</v>
      </c>
      <c r="AI21" s="273">
        <f t="shared" si="8"/>
        <v>0</v>
      </c>
      <c r="AJ21" s="273">
        <f t="shared" si="8"/>
        <v>0</v>
      </c>
      <c r="AK21" s="273">
        <f t="shared" si="8"/>
        <v>0</v>
      </c>
      <c r="AL21" s="273">
        <f t="shared" si="8"/>
        <v>0</v>
      </c>
      <c r="AM21" s="46"/>
      <c r="AN21" s="46"/>
      <c r="AO21" s="46"/>
      <c r="AP21" s="46"/>
      <c r="AQ21" s="46"/>
    </row>
    <row r="22" spans="2:43">
      <c r="B22" s="226" t="s">
        <v>43</v>
      </c>
      <c r="C22" s="24">
        <v>0.11408174423965201</v>
      </c>
      <c r="D22" s="24">
        <v>0.11528222856044484</v>
      </c>
      <c r="E22" s="24">
        <v>0.11872543199506469</v>
      </c>
      <c r="F22" s="24">
        <v>0.11684175213238907</v>
      </c>
      <c r="G22" s="24">
        <v>0.12124210996877499</v>
      </c>
      <c r="H22" s="24">
        <v>0.12265189205208735</v>
      </c>
      <c r="I22" s="24">
        <v>0.12315216475274372</v>
      </c>
      <c r="J22" s="24">
        <v>0.12435349987744926</v>
      </c>
      <c r="K22" s="24">
        <v>0.12592153148852028</v>
      </c>
      <c r="L22" s="24">
        <v>0.12184192672721508</v>
      </c>
      <c r="M22" s="24">
        <v>0.11884454454284002</v>
      </c>
      <c r="N22" s="24">
        <v>0.1183817072143416</v>
      </c>
      <c r="O22" s="24">
        <v>0.11404941369097013</v>
      </c>
      <c r="P22" s="24">
        <v>0.15781292670558739</v>
      </c>
      <c r="Q22" s="24">
        <v>0.21267726000314541</v>
      </c>
      <c r="R22" s="24">
        <v>0.2383255387705136</v>
      </c>
      <c r="S22" s="24">
        <v>0.26604072583634569</v>
      </c>
      <c r="T22" s="24">
        <v>0.27059266111728364</v>
      </c>
      <c r="U22" s="24">
        <v>0.26835190755985733</v>
      </c>
      <c r="V22" s="24">
        <v>0.24226523117144119</v>
      </c>
      <c r="W22" s="24">
        <v>0.26188157260940648</v>
      </c>
      <c r="X22" s="24">
        <v>0.27388535084875659</v>
      </c>
      <c r="Y22" s="24">
        <v>0.28402138549278272</v>
      </c>
      <c r="Z22" s="24">
        <v>0.2834735537518141</v>
      </c>
      <c r="AA22" s="24">
        <v>0.28785213323482478</v>
      </c>
      <c r="AB22" s="24">
        <v>0.26195278817700124</v>
      </c>
      <c r="AC22" s="24">
        <v>0.24517224201152127</v>
      </c>
      <c r="AD22" s="24">
        <v>0.24805867186117733</v>
      </c>
      <c r="AE22" s="24">
        <v>0.26249575023211275</v>
      </c>
      <c r="AF22" s="24">
        <v>0.23030740257353241</v>
      </c>
      <c r="AG22" s="24">
        <v>0.16513037607322673</v>
      </c>
      <c r="AH22" s="24">
        <v>0</v>
      </c>
      <c r="AI22" s="24">
        <v>0</v>
      </c>
      <c r="AJ22" s="24">
        <v>0</v>
      </c>
      <c r="AK22" s="24">
        <v>0</v>
      </c>
      <c r="AL22" s="24">
        <v>0</v>
      </c>
      <c r="AM22" s="46"/>
      <c r="AN22" s="46"/>
      <c r="AO22" s="46"/>
      <c r="AP22" s="46"/>
      <c r="AQ22" s="46"/>
    </row>
    <row r="23" spans="2:43">
      <c r="B23" s="224" t="s">
        <v>44</v>
      </c>
      <c r="C23" s="24">
        <v>8.0488166339485426E-2</v>
      </c>
      <c r="D23" s="24">
        <v>8.1335144813946145E-2</v>
      </c>
      <c r="E23" s="24">
        <v>8.3764430346293772E-2</v>
      </c>
      <c r="F23" s="24">
        <v>8.2435436482044308E-2</v>
      </c>
      <c r="G23" s="24">
        <v>8.5540023774681312E-2</v>
      </c>
      <c r="H23" s="24">
        <v>8.6534668234058643E-2</v>
      </c>
      <c r="I23" s="24">
        <v>8.6887625954103195E-2</v>
      </c>
      <c r="J23" s="24">
        <v>8.7735204696795285E-2</v>
      </c>
      <c r="K23" s="24">
        <v>8.8841499047207131E-2</v>
      </c>
      <c r="L23" s="24">
        <v>8.5963212877795986E-2</v>
      </c>
      <c r="M23" s="24">
        <v>8.384846789868533E-2</v>
      </c>
      <c r="N23" s="24">
        <v>8.3521921980820979E-2</v>
      </c>
      <c r="O23" s="24">
        <v>8.0465356146693437E-2</v>
      </c>
      <c r="P23" s="24">
        <v>0.13021786198916876</v>
      </c>
      <c r="Q23" s="24">
        <v>0.19215801190011905</v>
      </c>
      <c r="R23" s="24">
        <v>0.22851888323081365</v>
      </c>
      <c r="S23" s="24">
        <v>0.26604072583634569</v>
      </c>
      <c r="T23" s="24">
        <v>0.27059266111728364</v>
      </c>
      <c r="U23" s="24">
        <v>0.26835190755985733</v>
      </c>
      <c r="V23" s="24">
        <v>0.24226523117144119</v>
      </c>
      <c r="W23" s="24">
        <v>0.26188157260940648</v>
      </c>
      <c r="X23" s="24">
        <v>0.27388535084875659</v>
      </c>
      <c r="Y23" s="24">
        <v>0.28402138549278272</v>
      </c>
      <c r="Z23" s="24">
        <v>0.2834735537518141</v>
      </c>
      <c r="AA23" s="24">
        <v>0.28785213323482478</v>
      </c>
      <c r="AB23" s="24">
        <v>0.26195278817700124</v>
      </c>
      <c r="AC23" s="24">
        <v>0.24517224201152127</v>
      </c>
      <c r="AD23" s="24">
        <v>0.24805867186117733</v>
      </c>
      <c r="AE23" s="24">
        <v>0.26249575023211275</v>
      </c>
      <c r="AF23" s="24">
        <v>0.23030740257353241</v>
      </c>
      <c r="AG23" s="47">
        <v>0.16513037607322673</v>
      </c>
      <c r="AH23" s="47">
        <v>0</v>
      </c>
      <c r="AI23" s="47">
        <v>0</v>
      </c>
      <c r="AJ23" s="47">
        <v>0</v>
      </c>
      <c r="AK23" s="47">
        <v>0</v>
      </c>
      <c r="AL23" s="47">
        <v>0</v>
      </c>
      <c r="AM23" s="46"/>
      <c r="AN23" s="46"/>
      <c r="AO23" s="46"/>
      <c r="AP23" s="46"/>
      <c r="AQ23" s="46"/>
    </row>
    <row r="24" spans="2:43">
      <c r="B24" s="224" t="s">
        <v>45</v>
      </c>
      <c r="C24" s="47">
        <v>3.359357790016658E-2</v>
      </c>
      <c r="D24" s="47">
        <v>3.3947083746498706E-2</v>
      </c>
      <c r="E24" s="47">
        <v>3.4961001648770917E-2</v>
      </c>
      <c r="F24" s="47">
        <v>3.440631565034475E-2</v>
      </c>
      <c r="G24" s="47">
        <v>3.5702086194093686E-2</v>
      </c>
      <c r="H24" s="47">
        <v>3.6117223818028711E-2</v>
      </c>
      <c r="I24" s="47">
        <v>3.6264538798640528E-2</v>
      </c>
      <c r="J24" s="47">
        <v>3.6618295180653966E-2</v>
      </c>
      <c r="K24" s="47">
        <v>3.7080032441313152E-2</v>
      </c>
      <c r="L24" s="47">
        <v>3.587871384941909E-2</v>
      </c>
      <c r="M24" s="47">
        <v>3.4996076644154689E-2</v>
      </c>
      <c r="N24" s="47">
        <v>3.4859785233520617E-2</v>
      </c>
      <c r="O24" s="47">
        <v>3.3584057544276701E-2</v>
      </c>
      <c r="P24" s="47">
        <v>2.7595064716418625E-2</v>
      </c>
      <c r="Q24" s="47">
        <v>2.0519248103026345E-2</v>
      </c>
      <c r="R24" s="47">
        <v>9.806655539699935E-3</v>
      </c>
      <c r="S24" s="47">
        <v>0</v>
      </c>
      <c r="T24" s="47">
        <v>0</v>
      </c>
      <c r="U24" s="47">
        <v>0</v>
      </c>
      <c r="V24" s="47">
        <v>0</v>
      </c>
      <c r="W24" s="47">
        <v>0</v>
      </c>
      <c r="X24" s="47">
        <v>0</v>
      </c>
      <c r="Y24" s="47">
        <v>0</v>
      </c>
      <c r="Z24" s="47">
        <v>0</v>
      </c>
      <c r="AA24" s="47">
        <v>0</v>
      </c>
      <c r="AB24" s="47">
        <v>0</v>
      </c>
      <c r="AC24" s="47">
        <v>0</v>
      </c>
      <c r="AD24" s="47">
        <v>0</v>
      </c>
      <c r="AE24" s="47">
        <v>0</v>
      </c>
      <c r="AF24" s="47">
        <v>0</v>
      </c>
      <c r="AG24" s="47">
        <v>0</v>
      </c>
      <c r="AH24" s="47">
        <v>0</v>
      </c>
      <c r="AI24" s="47">
        <v>0</v>
      </c>
      <c r="AJ24" s="47">
        <v>0</v>
      </c>
      <c r="AK24" s="47">
        <v>0</v>
      </c>
      <c r="AL24" s="47">
        <v>0</v>
      </c>
      <c r="AM24" s="46"/>
      <c r="AN24" s="46"/>
      <c r="AO24" s="46"/>
      <c r="AP24" s="46"/>
      <c r="AQ24" s="46"/>
    </row>
    <row r="25" spans="2:43">
      <c r="B25" s="226" t="s">
        <v>46</v>
      </c>
      <c r="C25" s="47">
        <v>16.794827903657644</v>
      </c>
      <c r="D25" s="47">
        <v>16.971560190695623</v>
      </c>
      <c r="E25" s="47">
        <v>17.478459953730837</v>
      </c>
      <c r="F25" s="47">
        <v>17.201149334664873</v>
      </c>
      <c r="G25" s="47">
        <v>17.848958965111656</v>
      </c>
      <c r="H25" s="47">
        <v>18.056503543156957</v>
      </c>
      <c r="I25" s="47">
        <v>18.130152433857397</v>
      </c>
      <c r="J25" s="47">
        <v>18.307009974110855</v>
      </c>
      <c r="K25" s="47">
        <v>18.537851650234877</v>
      </c>
      <c r="L25" s="47">
        <v>17.937262482022902</v>
      </c>
      <c r="M25" s="47">
        <v>17.495995403897609</v>
      </c>
      <c r="N25" s="47">
        <v>17.427857654678153</v>
      </c>
      <c r="O25" s="47">
        <v>16.790068281469523</v>
      </c>
      <c r="P25" s="47">
        <v>18.428237649006387</v>
      </c>
      <c r="Q25" s="47">
        <v>20.591974537380903</v>
      </c>
      <c r="R25" s="47">
        <v>19.718729297329407</v>
      </c>
      <c r="S25" s="47">
        <v>19.225441007826017</v>
      </c>
      <c r="T25" s="47">
        <v>19.320708489044645</v>
      </c>
      <c r="U25" s="47">
        <v>18.934156301359916</v>
      </c>
      <c r="V25" s="47">
        <v>16.893543386323561</v>
      </c>
      <c r="W25" s="47">
        <v>18.049947712436698</v>
      </c>
      <c r="X25" s="47">
        <v>17.995597592812484</v>
      </c>
      <c r="Y25" s="47">
        <v>17.828782651816205</v>
      </c>
      <c r="Z25" s="47">
        <v>17.034150461288871</v>
      </c>
      <c r="AA25" s="47">
        <v>16.588476967309337</v>
      </c>
      <c r="AB25" s="47">
        <v>14.69849737104701</v>
      </c>
      <c r="AC25" s="47">
        <v>13.406767082888599</v>
      </c>
      <c r="AD25" s="47">
        <v>13.230526481424763</v>
      </c>
      <c r="AE25" s="47">
        <v>13.666618117685543</v>
      </c>
      <c r="AF25" s="47">
        <v>11.990759156539976</v>
      </c>
      <c r="AG25" s="24">
        <v>8.5973726714700263</v>
      </c>
      <c r="AH25" s="24">
        <v>0</v>
      </c>
      <c r="AI25" s="24">
        <v>0</v>
      </c>
      <c r="AJ25" s="24">
        <v>0</v>
      </c>
      <c r="AK25" s="24">
        <v>0</v>
      </c>
      <c r="AL25" s="24">
        <v>0</v>
      </c>
      <c r="AM25" s="46"/>
      <c r="AN25" s="46"/>
      <c r="AO25" s="46"/>
      <c r="AP25" s="46"/>
      <c r="AQ25" s="46"/>
    </row>
    <row r="26" spans="2:43">
      <c r="B26" s="224" t="s">
        <v>47</v>
      </c>
      <c r="C26" s="47">
        <v>3.0186472892829896</v>
      </c>
      <c r="D26" s="47">
        <v>3.0504125709671075</v>
      </c>
      <c r="E26" s="47">
        <v>3.1415210720129081</v>
      </c>
      <c r="F26" s="47">
        <v>3.0916781707736196</v>
      </c>
      <c r="G26" s="47">
        <v>3.2081133492784084</v>
      </c>
      <c r="H26" s="47">
        <v>3.2454167311002244</v>
      </c>
      <c r="I26" s="47">
        <v>3.2586541411854553</v>
      </c>
      <c r="J26" s="47">
        <v>3.2904419354717587</v>
      </c>
      <c r="K26" s="47">
        <v>3.331932661300129</v>
      </c>
      <c r="L26" s="47">
        <v>3.2239847338193743</v>
      </c>
      <c r="M26" s="47">
        <v>3.1446728363189154</v>
      </c>
      <c r="N26" s="47">
        <v>3.1324259807298578</v>
      </c>
      <c r="O26" s="47">
        <v>3.0177918103999311</v>
      </c>
      <c r="P26" s="47">
        <v>3.2670947457814563</v>
      </c>
      <c r="Q26" s="47">
        <v>3.6004461852463283</v>
      </c>
      <c r="R26" s="47">
        <v>3.3998161945639183</v>
      </c>
      <c r="S26" s="47">
        <v>3.2681893131699402</v>
      </c>
      <c r="T26" s="47">
        <v>3.3576809142059316</v>
      </c>
      <c r="U26" s="47">
        <v>3.362426583561803</v>
      </c>
      <c r="V26" s="47">
        <v>3.0642987402256887</v>
      </c>
      <c r="W26" s="47">
        <v>3.3427996959976807</v>
      </c>
      <c r="X26" s="47">
        <v>3.2375580465383527</v>
      </c>
      <c r="Y26" s="47">
        <v>3.1132442643979332</v>
      </c>
      <c r="Z26" s="47">
        <v>2.8843789672918181</v>
      </c>
      <c r="AA26" s="47">
        <v>2.7211556500025544</v>
      </c>
      <c r="AB26" s="47">
        <v>2.3234356498892841</v>
      </c>
      <c r="AC26" s="47">
        <v>2.0399024422561585</v>
      </c>
      <c r="AD26" s="47">
        <v>1.9354062027811454</v>
      </c>
      <c r="AE26" s="47">
        <v>1.9195932743966417</v>
      </c>
      <c r="AF26" s="47">
        <v>1.6842045657233968</v>
      </c>
      <c r="AG26" s="47">
        <v>1.2075744427422572</v>
      </c>
      <c r="AH26" s="47">
        <v>0</v>
      </c>
      <c r="AI26" s="47">
        <v>0</v>
      </c>
      <c r="AJ26" s="47">
        <v>0</v>
      </c>
      <c r="AK26" s="47">
        <v>0</v>
      </c>
      <c r="AL26" s="47">
        <v>0</v>
      </c>
      <c r="AM26" s="46"/>
      <c r="AN26" s="46"/>
      <c r="AO26" s="46"/>
      <c r="AP26" s="46"/>
      <c r="AQ26" s="46"/>
    </row>
    <row r="27" spans="2:43">
      <c r="B27" s="224" t="s">
        <v>48</v>
      </c>
      <c r="C27" s="47">
        <v>1.3388831313865883</v>
      </c>
      <c r="D27" s="47">
        <v>1.3529722235311401</v>
      </c>
      <c r="E27" s="47">
        <v>1.3933822560676392</v>
      </c>
      <c r="F27" s="47">
        <v>1.3712750625821415</v>
      </c>
      <c r="G27" s="47">
        <v>1.422918425141759</v>
      </c>
      <c r="H27" s="47">
        <v>1.4394638721180324</v>
      </c>
      <c r="I27" s="47">
        <v>1.4453351592767825</v>
      </c>
      <c r="J27" s="47">
        <v>1.4594342366035769</v>
      </c>
      <c r="K27" s="47">
        <v>1.477836927477006</v>
      </c>
      <c r="L27" s="47">
        <v>1.4299579786229135</v>
      </c>
      <c r="M27" s="47">
        <v>1.3947801815816274</v>
      </c>
      <c r="N27" s="47">
        <v>1.3893482424415591</v>
      </c>
      <c r="O27" s="47">
        <v>1.3385036944613635</v>
      </c>
      <c r="P27" s="47">
        <v>1.5166232264195338</v>
      </c>
      <c r="Q27" s="47">
        <v>1.7476074063829252</v>
      </c>
      <c r="R27" s="47">
        <v>1.7239792634847892</v>
      </c>
      <c r="S27" s="47">
        <v>1.7298927649755205</v>
      </c>
      <c r="T27" s="47">
        <v>1.8111436509648158</v>
      </c>
      <c r="U27" s="47">
        <v>1.8462246726892775</v>
      </c>
      <c r="V27" s="47">
        <v>1.7109624441733577</v>
      </c>
      <c r="W27" s="47">
        <v>1.8962446047517334</v>
      </c>
      <c r="X27" s="47">
        <v>1.8353720780310772</v>
      </c>
      <c r="Y27" s="47">
        <v>1.7637022877707316</v>
      </c>
      <c r="Z27" s="47">
        <v>1.6328687650486486</v>
      </c>
      <c r="AA27" s="47">
        <v>1.5392839880791507</v>
      </c>
      <c r="AB27" s="47">
        <v>1.4013456132115996</v>
      </c>
      <c r="AC27" s="47">
        <v>1.3120677310552606</v>
      </c>
      <c r="AD27" s="47">
        <v>1.3279837512086974</v>
      </c>
      <c r="AE27" s="47">
        <v>1.4057414899550968</v>
      </c>
      <c r="AF27" s="47">
        <v>1.2333634771424924</v>
      </c>
      <c r="AG27" s="47">
        <v>0.88432144403389767</v>
      </c>
      <c r="AH27" s="47">
        <v>0</v>
      </c>
      <c r="AI27" s="47">
        <v>0</v>
      </c>
      <c r="AJ27" s="47">
        <v>0</v>
      </c>
      <c r="AK27" s="47">
        <v>0</v>
      </c>
      <c r="AL27" s="47">
        <v>0</v>
      </c>
      <c r="AM27" s="46"/>
      <c r="AN27" s="46"/>
      <c r="AO27" s="46"/>
      <c r="AP27" s="46"/>
      <c r="AQ27" s="46"/>
    </row>
    <row r="28" spans="2:43">
      <c r="B28" s="224" t="s">
        <v>49</v>
      </c>
      <c r="C28" s="47">
        <v>10.765974351010746</v>
      </c>
      <c r="D28" s="47">
        <v>10.879264899753551</v>
      </c>
      <c r="E28" s="47">
        <v>11.204202426870577</v>
      </c>
      <c r="F28" s="47">
        <v>11.02643823486734</v>
      </c>
      <c r="G28" s="47">
        <v>11.441703095319344</v>
      </c>
      <c r="H28" s="47">
        <v>11.574745220951392</v>
      </c>
      <c r="I28" s="47">
        <v>11.62195630717447</v>
      </c>
      <c r="J28" s="47">
        <v>11.735327146880245</v>
      </c>
      <c r="K28" s="47">
        <v>11.883303391623677</v>
      </c>
      <c r="L28" s="47">
        <v>11.498308224209264</v>
      </c>
      <c r="M28" s="47">
        <v>11.215443161685593</v>
      </c>
      <c r="N28" s="47">
        <v>11.171764877832949</v>
      </c>
      <c r="O28" s="47">
        <v>10.762923294418098</v>
      </c>
      <c r="P28" s="47">
        <v>11.976342378026942</v>
      </c>
      <c r="Q28" s="47">
        <v>13.564348456216868</v>
      </c>
      <c r="R28" s="47">
        <v>13.162593409646643</v>
      </c>
      <c r="S28" s="47">
        <v>13.001829807044446</v>
      </c>
      <c r="T28" s="47">
        <v>12.616446669569838</v>
      </c>
      <c r="U28" s="47">
        <v>11.922645864856579</v>
      </c>
      <c r="V28" s="47">
        <v>10.243370618113451</v>
      </c>
      <c r="W28" s="47">
        <v>10.522694248933648</v>
      </c>
      <c r="X28" s="47">
        <v>10.802631345247242</v>
      </c>
      <c r="Y28" s="47">
        <v>11.011254555608732</v>
      </c>
      <c r="Z28" s="47">
        <v>10.815506931044213</v>
      </c>
      <c r="AA28" s="47">
        <v>10.819868087864863</v>
      </c>
      <c r="AB28" s="47">
        <v>9.5473034598780231</v>
      </c>
      <c r="AC28" s="47">
        <v>8.6722370562154314</v>
      </c>
      <c r="AD28" s="47">
        <v>8.5229587975129206</v>
      </c>
      <c r="AE28" s="47">
        <v>8.7677336993393773</v>
      </c>
      <c r="AF28" s="47">
        <v>7.6925968247704244</v>
      </c>
      <c r="AG28" s="47">
        <v>5.5155908688105466</v>
      </c>
      <c r="AH28" s="47">
        <v>0</v>
      </c>
      <c r="AI28" s="47">
        <v>0</v>
      </c>
      <c r="AJ28" s="47">
        <v>0</v>
      </c>
      <c r="AK28" s="47">
        <v>0</v>
      </c>
      <c r="AL28" s="47">
        <v>0</v>
      </c>
      <c r="AM28" s="46"/>
      <c r="AN28" s="46"/>
      <c r="AO28" s="46"/>
      <c r="AP28" s="46"/>
      <c r="AQ28" s="46"/>
    </row>
    <row r="29" spans="2:43">
      <c r="B29" s="224" t="s">
        <v>50</v>
      </c>
      <c r="C29" s="47">
        <v>1.5608224290366737</v>
      </c>
      <c r="D29" s="47">
        <v>1.5772469925467136</v>
      </c>
      <c r="E29" s="47">
        <v>1.6243555740670064</v>
      </c>
      <c r="F29" s="47">
        <v>1.5985837926274395</v>
      </c>
      <c r="G29" s="47">
        <v>1.6587877915458855</v>
      </c>
      <c r="H29" s="47">
        <v>1.6780758863269887</v>
      </c>
      <c r="I29" s="47">
        <v>1.6849204244870906</v>
      </c>
      <c r="J29" s="47">
        <v>1.7013566283681509</v>
      </c>
      <c r="K29" s="47">
        <v>1.7228098321590826</v>
      </c>
      <c r="L29" s="47">
        <v>1.6669942531153952</v>
      </c>
      <c r="M29" s="47">
        <v>1.6259852260098873</v>
      </c>
      <c r="N29" s="47">
        <v>1.6196528641746915</v>
      </c>
      <c r="O29" s="47">
        <v>1.5603800949378919</v>
      </c>
      <c r="P29" s="47">
        <v>1.500332280529479</v>
      </c>
      <c r="Q29" s="47">
        <v>1.4401414597692188</v>
      </c>
      <c r="R29" s="47">
        <v>1.1535652694724678</v>
      </c>
      <c r="S29" s="47">
        <v>0.90564383063269704</v>
      </c>
      <c r="T29" s="47">
        <v>1.1873088297121968</v>
      </c>
      <c r="U29" s="47">
        <v>1.435537351760831</v>
      </c>
      <c r="V29" s="47">
        <v>1.5238080911165395</v>
      </c>
      <c r="W29" s="47">
        <v>1.8880702666471625</v>
      </c>
      <c r="X29" s="47">
        <v>1.7153770162137651</v>
      </c>
      <c r="Y29" s="47">
        <v>1.5340010241353998</v>
      </c>
      <c r="Z29" s="47">
        <v>1.3075164776732862</v>
      </c>
      <c r="AA29" s="47">
        <v>1.1193163596244942</v>
      </c>
      <c r="AB29" s="47">
        <v>1.056352792669411</v>
      </c>
      <c r="AC29" s="47">
        <v>1.0219387404943425</v>
      </c>
      <c r="AD29" s="47">
        <v>1.0656988394729185</v>
      </c>
      <c r="AE29" s="47">
        <v>1.1594371874303684</v>
      </c>
      <c r="AF29" s="47">
        <v>1.0172620579500069</v>
      </c>
      <c r="AG29" s="47">
        <v>0.72937675609743513</v>
      </c>
      <c r="AH29" s="47">
        <v>0</v>
      </c>
      <c r="AI29" s="47">
        <v>0</v>
      </c>
      <c r="AJ29" s="47">
        <v>0</v>
      </c>
      <c r="AK29" s="47">
        <v>0</v>
      </c>
      <c r="AL29" s="47">
        <v>0</v>
      </c>
      <c r="AM29" s="46"/>
      <c r="AN29" s="46"/>
      <c r="AO29" s="46"/>
      <c r="AP29" s="46"/>
      <c r="AQ29" s="46"/>
    </row>
    <row r="30" spans="2:43">
      <c r="B30" s="224" t="s">
        <v>51</v>
      </c>
      <c r="C30" s="47">
        <v>0.11050070294064947</v>
      </c>
      <c r="D30" s="47">
        <v>0.11166350389711249</v>
      </c>
      <c r="E30" s="47">
        <v>0.1149986247127084</v>
      </c>
      <c r="F30" s="47">
        <v>0.11317407381433199</v>
      </c>
      <c r="G30" s="47">
        <v>0.11743630382625737</v>
      </c>
      <c r="H30" s="47">
        <v>0.11880183266031777</v>
      </c>
      <c r="I30" s="47">
        <v>0.11928640173359933</v>
      </c>
      <c r="J30" s="47">
        <v>0.12045002678712574</v>
      </c>
      <c r="K30" s="47">
        <v>0.12196883767497931</v>
      </c>
      <c r="L30" s="47">
        <v>0.11801729225595718</v>
      </c>
      <c r="M30" s="47">
        <v>0.11511399830158497</v>
      </c>
      <c r="N30" s="47">
        <v>0.1146656894990932</v>
      </c>
      <c r="O30" s="47">
        <v>0.11046938725224009</v>
      </c>
      <c r="P30" s="47">
        <v>0.16784501824897829</v>
      </c>
      <c r="Q30" s="47">
        <v>0.23943102976556258</v>
      </c>
      <c r="R30" s="47">
        <v>0.27877516016158976</v>
      </c>
      <c r="S30" s="47">
        <v>0.31988529200341226</v>
      </c>
      <c r="T30" s="47">
        <v>0.34812842459186327</v>
      </c>
      <c r="U30" s="47">
        <v>0.36732182849142553</v>
      </c>
      <c r="V30" s="47">
        <v>0.35110349269452429</v>
      </c>
      <c r="W30" s="47">
        <v>0.40013889610647274</v>
      </c>
      <c r="X30" s="47">
        <v>0.40465910678204581</v>
      </c>
      <c r="Y30" s="47">
        <v>0.40658051990340877</v>
      </c>
      <c r="Z30" s="47">
        <v>0.39387932023090505</v>
      </c>
      <c r="AA30" s="47">
        <v>0.38885288173827215</v>
      </c>
      <c r="AB30" s="47">
        <v>0.37005985539869163</v>
      </c>
      <c r="AC30" s="47">
        <v>0.36062111286740617</v>
      </c>
      <c r="AD30" s="47">
        <v>0.37847889044907851</v>
      </c>
      <c r="AE30" s="47">
        <v>0.41411246656405842</v>
      </c>
      <c r="AF30" s="47">
        <v>0.36333223095365563</v>
      </c>
      <c r="AG30" s="47">
        <v>0.26050915978588984</v>
      </c>
      <c r="AH30" s="47">
        <v>0</v>
      </c>
      <c r="AI30" s="47">
        <v>0</v>
      </c>
      <c r="AJ30" s="47">
        <v>0</v>
      </c>
      <c r="AK30" s="47">
        <v>0</v>
      </c>
      <c r="AL30" s="47">
        <v>0</v>
      </c>
      <c r="AM30" s="46"/>
      <c r="AN30" s="46"/>
      <c r="AO30" s="46"/>
      <c r="AP30" s="46"/>
      <c r="AQ30" s="46"/>
    </row>
    <row r="31" spans="2:43">
      <c r="B31" s="226" t="s">
        <v>52</v>
      </c>
      <c r="C31" s="47">
        <v>3.916124449123481</v>
      </c>
      <c r="D31" s="47">
        <v>3.9573338996870193</v>
      </c>
      <c r="E31" s="47">
        <v>4.0755299637767726</v>
      </c>
      <c r="F31" s="47">
        <v>4.0108682178181088</v>
      </c>
      <c r="G31" s="47">
        <v>4.1619208601388902</v>
      </c>
      <c r="H31" s="47">
        <v>4.2103149491422815</v>
      </c>
      <c r="I31" s="47">
        <v>4.2274879873643654</v>
      </c>
      <c r="J31" s="47">
        <v>4.2687266437752207</v>
      </c>
      <c r="K31" s="47">
        <v>4.3225530203794733</v>
      </c>
      <c r="L31" s="47">
        <v>4.1825109824970017</v>
      </c>
      <c r="M31" s="47">
        <v>4.0796187824010781</v>
      </c>
      <c r="N31" s="47">
        <v>4.0637308014609186</v>
      </c>
      <c r="O31" s="47">
        <v>3.9150146269254544</v>
      </c>
      <c r="P31" s="47">
        <v>4.363444489930262</v>
      </c>
      <c r="Q31" s="47">
        <v>4.9497568780776344</v>
      </c>
      <c r="R31" s="47">
        <v>4.8104388861610916</v>
      </c>
      <c r="S31" s="47">
        <v>4.7586705467743213</v>
      </c>
      <c r="T31" s="47">
        <v>4.7329310904841959</v>
      </c>
      <c r="U31" s="47">
        <v>4.5898428689419299</v>
      </c>
      <c r="V31" s="47">
        <v>4.0519405042172254</v>
      </c>
      <c r="W31" s="47">
        <v>4.2830504135321084</v>
      </c>
      <c r="X31" s="47">
        <v>4.2392756029037439</v>
      </c>
      <c r="Y31" s="47">
        <v>4.1693838634015119</v>
      </c>
      <c r="Z31" s="47">
        <v>3.954319965498597</v>
      </c>
      <c r="AA31" s="47">
        <v>3.8223896175562708</v>
      </c>
      <c r="AB31" s="47">
        <v>3.3376667148016925</v>
      </c>
      <c r="AC31" s="47">
        <v>2.9998052158505777</v>
      </c>
      <c r="AD31" s="47">
        <v>2.9167642013999249</v>
      </c>
      <c r="AE31" s="47">
        <v>2.9682161937176725</v>
      </c>
      <c r="AF31" s="47">
        <v>2.6042408734135192</v>
      </c>
      <c r="AG31" s="47">
        <v>1.8672403492316758</v>
      </c>
      <c r="AH31" s="47">
        <v>0</v>
      </c>
      <c r="AI31" s="47">
        <v>0</v>
      </c>
      <c r="AJ31" s="47">
        <v>0</v>
      </c>
      <c r="AK31" s="47">
        <v>0</v>
      </c>
      <c r="AL31" s="47">
        <v>0</v>
      </c>
      <c r="AM31" s="46"/>
      <c r="AN31" s="46"/>
      <c r="AO31" s="46"/>
      <c r="AP31" s="46"/>
      <c r="AQ31" s="46"/>
    </row>
    <row r="32" spans="2:43">
      <c r="B32" s="224" t="s">
        <v>53</v>
      </c>
      <c r="C32" s="47">
        <v>1.8461973154119473</v>
      </c>
      <c r="D32" s="47">
        <v>1.8656248841698897</v>
      </c>
      <c r="E32" s="47">
        <v>1.9213466210681138</v>
      </c>
      <c r="F32" s="47">
        <v>1.890862824306891</v>
      </c>
      <c r="G32" s="47">
        <v>1.9620742953317525</v>
      </c>
      <c r="H32" s="47">
        <v>1.9848889526187197</v>
      </c>
      <c r="I32" s="47">
        <v>1.9929849203222421</v>
      </c>
      <c r="J32" s="47">
        <v>2.0124262577327423</v>
      </c>
      <c r="K32" s="47">
        <v>2.0378018843953134</v>
      </c>
      <c r="L32" s="47">
        <v>1.9717811953844451</v>
      </c>
      <c r="M32" s="47">
        <v>1.9232742324260952</v>
      </c>
      <c r="N32" s="47">
        <v>1.9157840854350809</v>
      </c>
      <c r="O32" s="47">
        <v>1.8456741066147802</v>
      </c>
      <c r="P32" s="47">
        <v>2.0485603880209653</v>
      </c>
      <c r="Q32" s="47">
        <v>2.3144834767555116</v>
      </c>
      <c r="R32" s="47">
        <v>2.2405606296082574</v>
      </c>
      <c r="S32" s="47">
        <v>2.2080459108759092</v>
      </c>
      <c r="T32" s="47">
        <v>2.1868354111739468</v>
      </c>
      <c r="U32" s="47">
        <v>2.111533596087241</v>
      </c>
      <c r="V32" s="47">
        <v>1.8557791148331404</v>
      </c>
      <c r="W32" s="47">
        <v>1.9526576294487112</v>
      </c>
      <c r="X32" s="47">
        <v>1.9492740445192023</v>
      </c>
      <c r="Y32" s="47">
        <v>1.933677873042646</v>
      </c>
      <c r="Z32" s="47">
        <v>1.8498566102114617</v>
      </c>
      <c r="AA32" s="47">
        <v>1.8037593351684198</v>
      </c>
      <c r="AB32" s="47">
        <v>1.5740022369813134</v>
      </c>
      <c r="AC32" s="47">
        <v>1.413734668126382</v>
      </c>
      <c r="AD32" s="47">
        <v>1.3736692363307452</v>
      </c>
      <c r="AE32" s="47">
        <v>1.3969333424022796</v>
      </c>
      <c r="AF32" s="47">
        <v>1.2256354221832031</v>
      </c>
      <c r="AG32" s="24">
        <v>0.87878042968749759</v>
      </c>
      <c r="AH32" s="24">
        <v>0</v>
      </c>
      <c r="AI32" s="24">
        <v>0</v>
      </c>
      <c r="AJ32" s="24">
        <v>0</v>
      </c>
      <c r="AK32" s="24">
        <v>0</v>
      </c>
      <c r="AL32" s="24">
        <v>0</v>
      </c>
      <c r="AM32" s="46"/>
      <c r="AN32" s="46"/>
      <c r="AO32" s="46"/>
      <c r="AP32" s="46"/>
      <c r="AQ32" s="46"/>
    </row>
    <row r="33" spans="2:43">
      <c r="B33" s="224" t="s">
        <v>54</v>
      </c>
      <c r="C33" s="47">
        <v>1.6262190641875058</v>
      </c>
      <c r="D33" s="47">
        <v>1.6433317977080451</v>
      </c>
      <c r="E33" s="47">
        <v>1.69241417372337</v>
      </c>
      <c r="F33" s="47">
        <v>1.6655625847691005</v>
      </c>
      <c r="G33" s="47">
        <v>1.7282890608628143</v>
      </c>
      <c r="H33" s="47">
        <v>1.7483853042671613</v>
      </c>
      <c r="I33" s="47">
        <v>1.7555166205747994</v>
      </c>
      <c r="J33" s="47">
        <v>1.7726414821842975</v>
      </c>
      <c r="K33" s="47">
        <v>1.7949935501349379</v>
      </c>
      <c r="L33" s="47">
        <v>1.7368393635786046</v>
      </c>
      <c r="M33" s="47">
        <v>1.6941121061775695</v>
      </c>
      <c r="N33" s="47">
        <v>1.6875144257841086</v>
      </c>
      <c r="O33" s="47">
        <v>1.6257581968070804</v>
      </c>
      <c r="P33" s="47">
        <v>1.7974849809788216</v>
      </c>
      <c r="Q33" s="47">
        <v>2.023125763083589</v>
      </c>
      <c r="R33" s="47">
        <v>1.9512518255436697</v>
      </c>
      <c r="S33" s="47">
        <v>1.9159621678110133</v>
      </c>
      <c r="T33" s="47">
        <v>1.9116139860320431</v>
      </c>
      <c r="U33" s="47">
        <v>1.8597851308813755</v>
      </c>
      <c r="V33" s="47">
        <v>1.6472136171793794</v>
      </c>
      <c r="W33" s="47">
        <v>1.7469872460275284</v>
      </c>
      <c r="X33" s="47">
        <v>1.7036836876349588</v>
      </c>
      <c r="Y33" s="47">
        <v>1.650196989782837</v>
      </c>
      <c r="Z33" s="47">
        <v>1.5406302337702644</v>
      </c>
      <c r="AA33" s="47">
        <v>1.4652439232488015</v>
      </c>
      <c r="AB33" s="47">
        <v>1.2759782410627716</v>
      </c>
      <c r="AC33" s="47">
        <v>1.1436417896803508</v>
      </c>
      <c r="AD33" s="47">
        <v>1.1088306177948968</v>
      </c>
      <c r="AE33" s="47">
        <v>1.1251113182907138</v>
      </c>
      <c r="AF33" s="47">
        <v>0.98714537318218742</v>
      </c>
      <c r="AG33" s="24">
        <v>0.70778309724749455</v>
      </c>
      <c r="AH33" s="24">
        <v>0</v>
      </c>
      <c r="AI33" s="24">
        <v>0</v>
      </c>
      <c r="AJ33" s="24">
        <v>0</v>
      </c>
      <c r="AK33" s="24">
        <v>0</v>
      </c>
      <c r="AL33" s="24">
        <v>0</v>
      </c>
      <c r="AM33" s="46"/>
      <c r="AN33" s="46"/>
      <c r="AO33" s="46"/>
      <c r="AP33" s="46"/>
      <c r="AQ33" s="46"/>
    </row>
    <row r="34" spans="2:43">
      <c r="B34" s="224" t="s">
        <v>55</v>
      </c>
      <c r="C34" s="47">
        <v>0.36390200628911418</v>
      </c>
      <c r="D34" s="47">
        <v>0.36773135388339201</v>
      </c>
      <c r="E34" s="47">
        <v>0.37871460669277734</v>
      </c>
      <c r="F34" s="47">
        <v>0.37270597765398839</v>
      </c>
      <c r="G34" s="47">
        <v>0.38674239562536</v>
      </c>
      <c r="H34" s="47">
        <v>0.39123936866839221</v>
      </c>
      <c r="I34" s="47">
        <v>0.39283515632639038</v>
      </c>
      <c r="J34" s="47">
        <v>0.39666721784525671</v>
      </c>
      <c r="K34" s="47">
        <v>0.40166898086173719</v>
      </c>
      <c r="L34" s="47">
        <v>0.38865571246020475</v>
      </c>
      <c r="M34" s="47">
        <v>0.37909455613515786</v>
      </c>
      <c r="N34" s="47">
        <v>0.37761818115905071</v>
      </c>
      <c r="O34" s="47">
        <v>0.36379887715475379</v>
      </c>
      <c r="P34" s="47">
        <v>0.42773202874308092</v>
      </c>
      <c r="Q34" s="47">
        <v>0.50961506601663686</v>
      </c>
      <c r="R34" s="47">
        <v>0.5182119426718369</v>
      </c>
      <c r="S34" s="47">
        <v>0.53459363982978636</v>
      </c>
      <c r="T34" s="47">
        <v>0.52833658042016829</v>
      </c>
      <c r="U34" s="47">
        <v>0.50902684716133706</v>
      </c>
      <c r="V34" s="47">
        <v>0.44635944396206839</v>
      </c>
      <c r="W34" s="47">
        <v>0.46856113357436396</v>
      </c>
      <c r="X34" s="47">
        <v>0.44411725952285425</v>
      </c>
      <c r="Y34" s="47">
        <v>0.41717886291582568</v>
      </c>
      <c r="Z34" s="47">
        <v>0.37677878630473233</v>
      </c>
      <c r="AA34" s="47">
        <v>0.34568320697470184</v>
      </c>
      <c r="AB34" s="47">
        <v>0.31256674630535447</v>
      </c>
      <c r="AC34" s="47">
        <v>0.29076970371012351</v>
      </c>
      <c r="AD34" s="47">
        <v>0.29250020370793334</v>
      </c>
      <c r="AE34" s="47">
        <v>0.30783180381278857</v>
      </c>
      <c r="AF34" s="47">
        <v>0.27008415604046382</v>
      </c>
      <c r="AG34" s="47">
        <v>0.19365030285616749</v>
      </c>
      <c r="AH34" s="47">
        <v>0</v>
      </c>
      <c r="AI34" s="47">
        <v>0</v>
      </c>
      <c r="AJ34" s="47">
        <v>0</v>
      </c>
      <c r="AK34" s="47">
        <v>0</v>
      </c>
      <c r="AL34" s="47">
        <v>0</v>
      </c>
      <c r="AM34" s="46"/>
      <c r="AN34" s="46"/>
      <c r="AO34" s="46"/>
      <c r="AP34" s="46"/>
      <c r="AQ34" s="46"/>
    </row>
    <row r="35" spans="2:43">
      <c r="B35" s="224" t="s">
        <v>56</v>
      </c>
      <c r="C35" s="47">
        <v>4.0840923386243143E-2</v>
      </c>
      <c r="D35" s="47">
        <v>4.1270693184195129E-2</v>
      </c>
      <c r="E35" s="47">
        <v>4.2503349720206286E-2</v>
      </c>
      <c r="F35" s="47">
        <v>4.1828997960698326E-2</v>
      </c>
      <c r="G35" s="47">
        <v>4.3404312911093597E-2</v>
      </c>
      <c r="H35" s="47">
        <v>4.3909010682324237E-2</v>
      </c>
      <c r="I35" s="47">
        <v>4.4088106813575688E-2</v>
      </c>
      <c r="J35" s="47">
        <v>4.4518181196784905E-2</v>
      </c>
      <c r="K35" s="47">
        <v>4.5079531825860393E-2</v>
      </c>
      <c r="L35" s="47">
        <v>4.3619045517440967E-2</v>
      </c>
      <c r="M35" s="47">
        <v>4.2545991656218515E-2</v>
      </c>
      <c r="N35" s="47">
        <v>4.2380297276285214E-2</v>
      </c>
      <c r="O35" s="47">
        <v>4.082934914646838E-2</v>
      </c>
      <c r="P35" s="47">
        <v>5.1021443757053739E-2</v>
      </c>
      <c r="Q35" s="47">
        <v>6.3924206045609791E-2</v>
      </c>
      <c r="R35" s="47">
        <v>6.78082622647318E-2</v>
      </c>
      <c r="S35" s="47">
        <v>7.2518498134804973E-2</v>
      </c>
      <c r="T35" s="47">
        <v>7.0057089320089569E-2</v>
      </c>
      <c r="U35" s="47">
        <v>6.5887547596239368E-2</v>
      </c>
      <c r="V35" s="47">
        <v>5.6313783508109755E-2</v>
      </c>
      <c r="W35" s="47">
        <v>5.7523119995129747E-2</v>
      </c>
      <c r="X35" s="47">
        <v>7.1926740090298827E-2</v>
      </c>
      <c r="Y35" s="47">
        <v>8.5702999565915816E-2</v>
      </c>
      <c r="Z35" s="47">
        <v>9.5683718450022326E-2</v>
      </c>
      <c r="AA35" s="47">
        <v>0.10662095144436493</v>
      </c>
      <c r="AB35" s="47">
        <v>9.9719923334023505E-2</v>
      </c>
      <c r="AC35" s="47">
        <v>9.5703749730102192E-2</v>
      </c>
      <c r="AD35" s="47">
        <v>9.9093427298121359E-2</v>
      </c>
      <c r="AE35" s="47">
        <v>0.10712261803205388</v>
      </c>
      <c r="AF35" s="47">
        <v>9.3986786049006316E-2</v>
      </c>
      <c r="AG35" s="47">
        <v>6.7388512712834206E-2</v>
      </c>
      <c r="AH35" s="47">
        <v>0</v>
      </c>
      <c r="AI35" s="47">
        <v>0</v>
      </c>
      <c r="AJ35" s="47">
        <v>0</v>
      </c>
      <c r="AK35" s="47">
        <v>0</v>
      </c>
      <c r="AL35" s="47">
        <v>0</v>
      </c>
      <c r="AM35" s="46"/>
      <c r="AN35" s="46"/>
      <c r="AO35" s="46"/>
      <c r="AP35" s="46"/>
      <c r="AQ35" s="46"/>
    </row>
    <row r="36" spans="2:43">
      <c r="B36" s="224" t="s">
        <v>57</v>
      </c>
      <c r="C36" s="47">
        <v>3.896513984867038E-2</v>
      </c>
      <c r="D36" s="47">
        <v>3.937517074149724E-2</v>
      </c>
      <c r="E36" s="47">
        <v>4.0551212572305359E-2</v>
      </c>
      <c r="F36" s="47">
        <v>3.9907833127430355E-2</v>
      </c>
      <c r="G36" s="47">
        <v>4.1410795407870078E-2</v>
      </c>
      <c r="H36" s="47">
        <v>4.1892312905683043E-2</v>
      </c>
      <c r="I36" s="47">
        <v>4.2063183327357173E-2</v>
      </c>
      <c r="J36" s="47">
        <v>4.2473504816139249E-2</v>
      </c>
      <c r="K36" s="47">
        <v>4.3009073161624646E-2</v>
      </c>
      <c r="L36" s="47">
        <v>4.1615665556305886E-2</v>
      </c>
      <c r="M36" s="47">
        <v>4.0591896006037291E-2</v>
      </c>
      <c r="N36" s="47">
        <v>4.0433811806393202E-2</v>
      </c>
      <c r="O36" s="47">
        <v>3.8954097202371717E-2</v>
      </c>
      <c r="P36" s="47">
        <v>3.8645648430340761E-2</v>
      </c>
      <c r="Q36" s="47">
        <v>3.8608366176287795E-2</v>
      </c>
      <c r="R36" s="47">
        <v>3.2606226072595862E-2</v>
      </c>
      <c r="S36" s="47">
        <v>2.7550330122806967E-2</v>
      </c>
      <c r="T36" s="47">
        <v>3.6088023537948898E-2</v>
      </c>
      <c r="U36" s="47">
        <v>4.3609747215736211E-2</v>
      </c>
      <c r="V36" s="47">
        <v>4.6274544734528161E-2</v>
      </c>
      <c r="W36" s="47">
        <v>5.7321284486374906E-2</v>
      </c>
      <c r="X36" s="47">
        <v>7.0273871136429772E-2</v>
      </c>
      <c r="Y36" s="47">
        <v>8.2627138094287414E-2</v>
      </c>
      <c r="Z36" s="47">
        <v>9.1370616762116122E-2</v>
      </c>
      <c r="AA36" s="47">
        <v>0.10108220071998233</v>
      </c>
      <c r="AB36" s="47">
        <v>7.539956711823019E-2</v>
      </c>
      <c r="AC36" s="47">
        <v>5.5955304603619409E-2</v>
      </c>
      <c r="AD36" s="47">
        <v>4.2670716268228617E-2</v>
      </c>
      <c r="AE36" s="47">
        <v>3.1217111179836748E-2</v>
      </c>
      <c r="AF36" s="47">
        <v>2.7389135958658436E-2</v>
      </c>
      <c r="AG36" s="47">
        <v>1.9638006727682043E-2</v>
      </c>
      <c r="AH36" s="47">
        <v>0</v>
      </c>
      <c r="AI36" s="47">
        <v>0</v>
      </c>
      <c r="AJ36" s="47">
        <v>0</v>
      </c>
      <c r="AK36" s="47">
        <v>0</v>
      </c>
      <c r="AL36" s="47">
        <v>0</v>
      </c>
      <c r="AM36" s="46"/>
      <c r="AN36" s="46"/>
      <c r="AO36" s="46"/>
      <c r="AP36" s="46"/>
      <c r="AQ36" s="46"/>
    </row>
    <row r="37" spans="2:43" ht="13.5" thickBot="1">
      <c r="B37" s="227" t="s">
        <v>24</v>
      </c>
      <c r="C37" s="26">
        <v>0.62557380978051325</v>
      </c>
      <c r="D37" s="26">
        <v>0.63215673463974886</v>
      </c>
      <c r="E37" s="26">
        <v>0.65103773882495486</v>
      </c>
      <c r="F37" s="26">
        <v>0.64070847189487179</v>
      </c>
      <c r="G37" s="26">
        <v>0.66483808732503902</v>
      </c>
      <c r="H37" s="26">
        <v>0.67256870850983907</v>
      </c>
      <c r="I37" s="26">
        <v>0.67531198265387216</v>
      </c>
      <c r="J37" s="26">
        <v>0.68189957294532544</v>
      </c>
      <c r="K37" s="26">
        <v>0.6904979645226258</v>
      </c>
      <c r="L37" s="26">
        <v>0.66812721703854783</v>
      </c>
      <c r="M37" s="26">
        <v>0.65169089933543889</v>
      </c>
      <c r="N37" s="26">
        <v>0.64915290420898664</v>
      </c>
      <c r="O37" s="26">
        <v>0.62539652335623908</v>
      </c>
      <c r="P37" s="26">
        <v>0.54431735901437484</v>
      </c>
      <c r="Q37" s="26">
        <v>0.45002521416051883</v>
      </c>
      <c r="R37" s="26">
        <v>0.27999880554395412</v>
      </c>
      <c r="S37" s="26">
        <v>0.12636306430187144</v>
      </c>
      <c r="T37" s="26">
        <v>0.18891222903663005</v>
      </c>
      <c r="U37" s="26">
        <v>0.24589524360247675</v>
      </c>
      <c r="V37" s="26">
        <v>0.27367824326082946</v>
      </c>
      <c r="W37" s="26">
        <v>0.35048736095278182</v>
      </c>
      <c r="X37" s="26">
        <v>0.36854693352222317</v>
      </c>
      <c r="Y37" s="26">
        <v>0.38407002713041999</v>
      </c>
      <c r="Z37" s="26">
        <v>0.38504888454816477</v>
      </c>
      <c r="AA37" s="26">
        <v>0.39259968369888382</v>
      </c>
      <c r="AB37" s="26">
        <v>0.31537036531743573</v>
      </c>
      <c r="AC37" s="26">
        <v>0.25824842248337537</v>
      </c>
      <c r="AD37" s="26">
        <v>0.22606406611115107</v>
      </c>
      <c r="AE37" s="26">
        <v>0.20401224111304103</v>
      </c>
      <c r="AF37" s="26">
        <v>0.17899539060119105</v>
      </c>
      <c r="AG37" s="26">
        <v>0.12833967052323322</v>
      </c>
      <c r="AH37" s="26">
        <v>0</v>
      </c>
      <c r="AI37" s="26">
        <v>0</v>
      </c>
      <c r="AJ37" s="26">
        <v>0</v>
      </c>
      <c r="AK37" s="26">
        <v>0</v>
      </c>
      <c r="AL37" s="26">
        <v>0</v>
      </c>
      <c r="AM37" s="46"/>
      <c r="AN37" s="46"/>
      <c r="AO37" s="46"/>
      <c r="AP37" s="46"/>
      <c r="AQ37" s="46"/>
    </row>
    <row r="38" spans="2:43">
      <c r="B38" s="274" t="s">
        <v>27</v>
      </c>
      <c r="C38" s="275">
        <f t="shared" ref="C38:L38" si="9">SUM(C39:C47)</f>
        <v>0.22252564080306519</v>
      </c>
      <c r="D38" s="275">
        <f t="shared" si="9"/>
        <v>0.2303644304503335</v>
      </c>
      <c r="E38" s="275">
        <f t="shared" si="9"/>
        <v>0.22460531968907513</v>
      </c>
      <c r="F38" s="275">
        <f t="shared" si="9"/>
        <v>0.22364546789553214</v>
      </c>
      <c r="G38" s="275">
        <f t="shared" si="9"/>
        <v>0.2206059372159791</v>
      </c>
      <c r="H38" s="275">
        <f t="shared" si="9"/>
        <v>0.21436690055794927</v>
      </c>
      <c r="I38" s="275">
        <f t="shared" si="9"/>
        <v>0.23292403523311503</v>
      </c>
      <c r="J38" s="275">
        <f t="shared" si="9"/>
        <v>0.23260408463526733</v>
      </c>
      <c r="K38" s="275">
        <f t="shared" si="9"/>
        <v>0.2303644304503335</v>
      </c>
      <c r="L38" s="275">
        <f t="shared" si="9"/>
        <v>0.23852317069544945</v>
      </c>
      <c r="M38" s="275">
        <f>SUM(M39:M47)</f>
        <v>0.25068129341366152</v>
      </c>
      <c r="N38" s="275">
        <f t="shared" ref="N38:AG38" si="10">SUM(N39:N47)</f>
        <v>0.24956146632119464</v>
      </c>
      <c r="O38" s="275">
        <f t="shared" si="10"/>
        <v>0.25947993485447285</v>
      </c>
      <c r="P38" s="275">
        <f t="shared" si="10"/>
        <v>0.26411921852326431</v>
      </c>
      <c r="Q38" s="275">
        <f t="shared" si="10"/>
        <v>0.24284250376639321</v>
      </c>
      <c r="R38" s="275">
        <f t="shared" si="10"/>
        <v>0.28827548866076463</v>
      </c>
      <c r="S38" s="275">
        <f t="shared" si="10"/>
        <v>0.28169266043869357</v>
      </c>
      <c r="T38" s="275">
        <f t="shared" si="10"/>
        <v>0.29430069324215274</v>
      </c>
      <c r="U38" s="275">
        <f t="shared" si="10"/>
        <v>0.29897430484131049</v>
      </c>
      <c r="V38" s="275">
        <f t="shared" si="10"/>
        <v>0.2726189095668537</v>
      </c>
      <c r="W38" s="275">
        <f t="shared" si="10"/>
        <v>0.29088313520869108</v>
      </c>
      <c r="X38" s="275">
        <f t="shared" si="10"/>
        <v>0.26344905008831992</v>
      </c>
      <c r="Y38" s="275">
        <f t="shared" si="10"/>
        <v>0.27671300790298198</v>
      </c>
      <c r="Z38" s="275">
        <f t="shared" si="10"/>
        <v>0.27970708126955152</v>
      </c>
      <c r="AA38" s="275">
        <f t="shared" si="10"/>
        <v>0.27679627529749251</v>
      </c>
      <c r="AB38" s="275">
        <f t="shared" si="10"/>
        <v>0.22602507234684346</v>
      </c>
      <c r="AC38" s="275">
        <f t="shared" si="10"/>
        <v>0.20093622408485864</v>
      </c>
      <c r="AD38" s="275">
        <f t="shared" si="10"/>
        <v>0.20122639290333044</v>
      </c>
      <c r="AE38" s="275">
        <f t="shared" si="10"/>
        <v>0.21371139106338524</v>
      </c>
      <c r="AF38" s="275">
        <f t="shared" si="10"/>
        <v>0.19775815702939181</v>
      </c>
      <c r="AG38" s="275">
        <f t="shared" si="10"/>
        <v>0.11991095811890179</v>
      </c>
      <c r="AH38" s="275">
        <f t="shared" ref="AH38:AL38" si="11">SUM(AH39:AH47)</f>
        <v>0</v>
      </c>
      <c r="AI38" s="275">
        <f t="shared" si="11"/>
        <v>0</v>
      </c>
      <c r="AJ38" s="275">
        <f t="shared" si="11"/>
        <v>0</v>
      </c>
      <c r="AK38" s="275">
        <f t="shared" si="11"/>
        <v>0</v>
      </c>
      <c r="AL38" s="275">
        <f t="shared" si="11"/>
        <v>0</v>
      </c>
      <c r="AM38" s="46"/>
      <c r="AN38" s="46"/>
      <c r="AO38" s="46"/>
      <c r="AP38" s="46"/>
      <c r="AQ38" s="46"/>
    </row>
    <row r="39" spans="2:43">
      <c r="B39" s="228" t="s">
        <v>58</v>
      </c>
      <c r="C39" s="24">
        <v>0</v>
      </c>
      <c r="D39" s="24">
        <v>0</v>
      </c>
      <c r="E39" s="24">
        <v>0</v>
      </c>
      <c r="F39" s="24">
        <v>0</v>
      </c>
      <c r="G39" s="24">
        <v>0</v>
      </c>
      <c r="H39" s="24">
        <v>0</v>
      </c>
      <c r="I39" s="24">
        <v>0</v>
      </c>
      <c r="J39" s="24">
        <v>0</v>
      </c>
      <c r="K39" s="24">
        <v>0</v>
      </c>
      <c r="L39" s="24">
        <v>0</v>
      </c>
      <c r="M39" s="24">
        <v>0</v>
      </c>
      <c r="N39" s="24">
        <v>0</v>
      </c>
      <c r="O39" s="24">
        <v>0</v>
      </c>
      <c r="P39" s="24">
        <v>0</v>
      </c>
      <c r="Q39" s="24">
        <v>0</v>
      </c>
      <c r="R39" s="24">
        <v>0</v>
      </c>
      <c r="S39" s="24">
        <v>0</v>
      </c>
      <c r="T39" s="24">
        <v>0</v>
      </c>
      <c r="U39" s="24">
        <v>0</v>
      </c>
      <c r="V39" s="24">
        <v>0</v>
      </c>
      <c r="W39" s="24">
        <v>0</v>
      </c>
      <c r="X39" s="24">
        <v>0</v>
      </c>
      <c r="Y39" s="24">
        <v>0</v>
      </c>
      <c r="Z39" s="24">
        <v>0</v>
      </c>
      <c r="AA39" s="24">
        <v>0</v>
      </c>
      <c r="AB39" s="24">
        <v>0</v>
      </c>
      <c r="AC39" s="24">
        <v>0</v>
      </c>
      <c r="AD39" s="24">
        <v>0</v>
      </c>
      <c r="AE39" s="24">
        <v>0</v>
      </c>
      <c r="AF39" s="24">
        <v>0</v>
      </c>
      <c r="AG39" s="24">
        <v>0</v>
      </c>
      <c r="AH39" s="24">
        <v>0</v>
      </c>
      <c r="AI39" s="24">
        <v>0</v>
      </c>
      <c r="AJ39" s="24">
        <v>0</v>
      </c>
      <c r="AK39" s="24">
        <v>0</v>
      </c>
      <c r="AL39" s="24">
        <v>0</v>
      </c>
      <c r="AM39" s="46"/>
      <c r="AN39" s="46"/>
      <c r="AO39" s="46"/>
      <c r="AP39" s="46"/>
      <c r="AQ39" s="46"/>
    </row>
    <row r="40" spans="2:43">
      <c r="B40" s="228" t="s">
        <v>59</v>
      </c>
      <c r="C40" s="24">
        <v>0</v>
      </c>
      <c r="D40" s="24">
        <v>0</v>
      </c>
      <c r="E40" s="24">
        <v>0</v>
      </c>
      <c r="F40" s="24">
        <v>0</v>
      </c>
      <c r="G40" s="24">
        <v>0</v>
      </c>
      <c r="H40" s="24">
        <v>0</v>
      </c>
      <c r="I40" s="24">
        <v>0</v>
      </c>
      <c r="J40" s="24">
        <v>0</v>
      </c>
      <c r="K40" s="24">
        <v>0</v>
      </c>
      <c r="L40" s="24">
        <v>0</v>
      </c>
      <c r="M40" s="24">
        <v>0</v>
      </c>
      <c r="N40" s="24">
        <v>0</v>
      </c>
      <c r="O40" s="24">
        <v>0</v>
      </c>
      <c r="P40" s="24">
        <v>0</v>
      </c>
      <c r="Q40" s="24">
        <v>0</v>
      </c>
      <c r="R40" s="24">
        <v>0</v>
      </c>
      <c r="S40" s="24">
        <v>0</v>
      </c>
      <c r="T40" s="24">
        <v>0</v>
      </c>
      <c r="U40" s="24">
        <v>0</v>
      </c>
      <c r="V40" s="24">
        <v>0</v>
      </c>
      <c r="W40" s="24">
        <v>0</v>
      </c>
      <c r="X40" s="24">
        <v>0</v>
      </c>
      <c r="Y40" s="24">
        <v>0</v>
      </c>
      <c r="Z40" s="24">
        <v>0</v>
      </c>
      <c r="AA40" s="24">
        <v>0</v>
      </c>
      <c r="AB40" s="24">
        <v>0</v>
      </c>
      <c r="AC40" s="24">
        <v>0</v>
      </c>
      <c r="AD40" s="24">
        <v>0</v>
      </c>
      <c r="AE40" s="24">
        <v>0</v>
      </c>
      <c r="AF40" s="24">
        <v>0</v>
      </c>
      <c r="AG40" s="24">
        <v>0</v>
      </c>
      <c r="AH40" s="24">
        <v>0</v>
      </c>
      <c r="AI40" s="24">
        <v>0</v>
      </c>
      <c r="AJ40" s="24">
        <v>0</v>
      </c>
      <c r="AK40" s="24">
        <v>0</v>
      </c>
      <c r="AL40" s="24">
        <v>0</v>
      </c>
      <c r="AM40" s="46"/>
      <c r="AN40" s="46"/>
      <c r="AO40" s="46"/>
      <c r="AP40" s="46"/>
      <c r="AQ40" s="46"/>
    </row>
    <row r="41" spans="2:43">
      <c r="B41" s="228" t="s">
        <v>60</v>
      </c>
      <c r="C41" s="47">
        <v>0</v>
      </c>
      <c r="D41" s="47">
        <v>0</v>
      </c>
      <c r="E41" s="47">
        <v>0</v>
      </c>
      <c r="F41" s="47">
        <v>0</v>
      </c>
      <c r="G41" s="47">
        <v>0</v>
      </c>
      <c r="H41" s="47">
        <v>0</v>
      </c>
      <c r="I41" s="47">
        <v>0</v>
      </c>
      <c r="J41" s="47">
        <v>0</v>
      </c>
      <c r="K41" s="47">
        <v>0</v>
      </c>
      <c r="L41" s="47">
        <v>0</v>
      </c>
      <c r="M41" s="47">
        <v>0</v>
      </c>
      <c r="N41" s="47">
        <v>0</v>
      </c>
      <c r="O41" s="47">
        <v>0</v>
      </c>
      <c r="P41" s="47">
        <v>0</v>
      </c>
      <c r="Q41" s="47">
        <v>0</v>
      </c>
      <c r="R41" s="47">
        <v>0</v>
      </c>
      <c r="S41" s="47">
        <v>0</v>
      </c>
      <c r="T41" s="47">
        <v>0</v>
      </c>
      <c r="U41" s="47">
        <v>0</v>
      </c>
      <c r="V41" s="47">
        <v>0</v>
      </c>
      <c r="W41" s="47">
        <v>0</v>
      </c>
      <c r="X41" s="47">
        <v>0</v>
      </c>
      <c r="Y41" s="47">
        <v>0</v>
      </c>
      <c r="Z41" s="47">
        <v>0</v>
      </c>
      <c r="AA41" s="47">
        <v>0</v>
      </c>
      <c r="AB41" s="47">
        <v>0</v>
      </c>
      <c r="AC41" s="47">
        <v>0</v>
      </c>
      <c r="AD41" s="47">
        <v>0</v>
      </c>
      <c r="AE41" s="47">
        <v>0</v>
      </c>
      <c r="AF41" s="47">
        <v>0</v>
      </c>
      <c r="AG41" s="47">
        <v>0</v>
      </c>
      <c r="AH41" s="47">
        <v>0</v>
      </c>
      <c r="AI41" s="47">
        <v>0</v>
      </c>
      <c r="AJ41" s="47">
        <v>0</v>
      </c>
      <c r="AK41" s="47">
        <v>0</v>
      </c>
      <c r="AL41" s="47">
        <v>0</v>
      </c>
      <c r="AM41" s="46"/>
      <c r="AN41" s="46"/>
      <c r="AO41" s="46"/>
      <c r="AP41" s="46"/>
      <c r="AQ41" s="46"/>
    </row>
    <row r="42" spans="2:43">
      <c r="B42" s="228" t="s">
        <v>61</v>
      </c>
      <c r="C42" s="47">
        <v>4.281871329984209E-2</v>
      </c>
      <c r="D42" s="47">
        <v>4.43270648107639E-2</v>
      </c>
      <c r="E42" s="47">
        <v>4.3218888190494818E-2</v>
      </c>
      <c r="F42" s="47">
        <v>4.3034192087116632E-2</v>
      </c>
      <c r="G42" s="47">
        <v>4.2449321093085725E-2</v>
      </c>
      <c r="H42" s="47">
        <v>4.124879642112754E-2</v>
      </c>
      <c r="I42" s="47">
        <v>4.4819587753105732E-2</v>
      </c>
      <c r="J42" s="47">
        <v>4.4758022385313012E-2</v>
      </c>
      <c r="K42" s="47">
        <v>4.43270648107639E-2</v>
      </c>
      <c r="L42" s="47">
        <v>4.5896981689478471E-2</v>
      </c>
      <c r="M42" s="47">
        <v>4.8236465665602121E-2</v>
      </c>
      <c r="N42" s="47">
        <v>4.8020986878327579E-2</v>
      </c>
      <c r="O42" s="47">
        <v>4.9929513279902138E-2</v>
      </c>
      <c r="P42" s="47">
        <v>5.0822211112896684E-2</v>
      </c>
      <c r="Q42" s="47">
        <v>4.6728114154680311E-2</v>
      </c>
      <c r="R42" s="47">
        <v>5.5470396381247629E-2</v>
      </c>
      <c r="S42" s="47">
        <v>5.4203718827480166E-2</v>
      </c>
      <c r="T42" s="47">
        <v>5.6629775168394576E-2</v>
      </c>
      <c r="U42" s="47">
        <v>5.8892752311361193E-2</v>
      </c>
      <c r="V42" s="47">
        <v>5.673531693163085E-2</v>
      </c>
      <c r="W42" s="47">
        <v>6.1254585592360029E-2</v>
      </c>
      <c r="X42" s="47">
        <v>5.6107670236311961E-2</v>
      </c>
      <c r="Y42" s="47">
        <v>5.4836766848415909E-2</v>
      </c>
      <c r="Z42" s="47">
        <v>0</v>
      </c>
      <c r="AA42" s="47">
        <v>0</v>
      </c>
      <c r="AB42" s="47">
        <v>3.6602873694115391E-2</v>
      </c>
      <c r="AC42" s="47">
        <v>2.8019469187602387E-2</v>
      </c>
      <c r="AD42" s="47">
        <v>2.9811856502954873E-2</v>
      </c>
      <c r="AE42" s="47">
        <v>3.0659000201740772E-2</v>
      </c>
      <c r="AF42" s="47">
        <v>2.8571743259849753E-2</v>
      </c>
      <c r="AG42" s="47">
        <v>1.5956337543431957E-2</v>
      </c>
      <c r="AH42" s="47">
        <v>0</v>
      </c>
      <c r="AI42" s="47">
        <v>0</v>
      </c>
      <c r="AJ42" s="47">
        <v>0</v>
      </c>
      <c r="AK42" s="47">
        <v>0</v>
      </c>
      <c r="AL42" s="47">
        <v>0</v>
      </c>
      <c r="AM42" s="46"/>
      <c r="AN42" s="46"/>
      <c r="AO42" s="46"/>
      <c r="AP42" s="46"/>
      <c r="AQ42" s="46"/>
    </row>
    <row r="43" spans="2:43">
      <c r="B43" s="228" t="s">
        <v>62</v>
      </c>
      <c r="C43" s="47">
        <v>0.17970692750322309</v>
      </c>
      <c r="D43" s="47">
        <v>0.1860373656395696</v>
      </c>
      <c r="E43" s="47">
        <v>0.1813864314985803</v>
      </c>
      <c r="F43" s="47">
        <v>0.18061127580841549</v>
      </c>
      <c r="G43" s="47">
        <v>0.17815661612289338</v>
      </c>
      <c r="H43" s="47">
        <v>0.17311810413682172</v>
      </c>
      <c r="I43" s="47">
        <v>0.18810444748000929</v>
      </c>
      <c r="J43" s="47">
        <v>0.18784606224995432</v>
      </c>
      <c r="K43" s="47">
        <v>0.1860373656395696</v>
      </c>
      <c r="L43" s="47">
        <v>0.19262618900597098</v>
      </c>
      <c r="M43" s="47">
        <v>0.20244482774805941</v>
      </c>
      <c r="N43" s="47">
        <v>0.20154047944286704</v>
      </c>
      <c r="O43" s="47">
        <v>0.20955042157457071</v>
      </c>
      <c r="P43" s="47">
        <v>0.21329700741036764</v>
      </c>
      <c r="Q43" s="47">
        <v>0.1961143896117129</v>
      </c>
      <c r="R43" s="47">
        <v>0.23280509227951698</v>
      </c>
      <c r="S43" s="47">
        <v>0.22748894161121341</v>
      </c>
      <c r="T43" s="47">
        <v>0.23767091807375818</v>
      </c>
      <c r="U43" s="47">
        <v>0.24008155252994928</v>
      </c>
      <c r="V43" s="47">
        <v>0.21588359263522286</v>
      </c>
      <c r="W43" s="47">
        <v>0.22962854961633103</v>
      </c>
      <c r="X43" s="47">
        <v>0.20734137985200798</v>
      </c>
      <c r="Y43" s="47">
        <v>0.22187624105456605</v>
      </c>
      <c r="Z43" s="47">
        <v>0.23066719331545665</v>
      </c>
      <c r="AA43" s="47">
        <v>0.23173440006617707</v>
      </c>
      <c r="AB43" s="47">
        <v>0.18942219865272808</v>
      </c>
      <c r="AC43" s="47">
        <v>0.17291675489725625</v>
      </c>
      <c r="AD43" s="47">
        <v>0.17141453640037557</v>
      </c>
      <c r="AE43" s="47">
        <v>0.18305239086164446</v>
      </c>
      <c r="AF43" s="47">
        <v>0.16918641376954205</v>
      </c>
      <c r="AG43" s="47">
        <v>0.10395462057546984</v>
      </c>
      <c r="AH43" s="47">
        <v>0</v>
      </c>
      <c r="AI43" s="47">
        <v>0</v>
      </c>
      <c r="AJ43" s="47">
        <v>0</v>
      </c>
      <c r="AK43" s="47">
        <v>0</v>
      </c>
      <c r="AL43" s="47">
        <v>0</v>
      </c>
      <c r="AM43" s="46"/>
      <c r="AN43" s="46"/>
      <c r="AO43" s="46"/>
      <c r="AP43" s="46"/>
      <c r="AQ43" s="46"/>
    </row>
    <row r="44" spans="2:43">
      <c r="B44" s="228" t="s">
        <v>63</v>
      </c>
      <c r="C44" s="47">
        <v>0</v>
      </c>
      <c r="D44" s="47">
        <v>0</v>
      </c>
      <c r="E44" s="47">
        <v>0</v>
      </c>
      <c r="F44" s="47">
        <v>0</v>
      </c>
      <c r="G44" s="47">
        <v>0</v>
      </c>
      <c r="H44" s="47">
        <v>0</v>
      </c>
      <c r="I44" s="47">
        <v>0</v>
      </c>
      <c r="J44" s="47">
        <v>0</v>
      </c>
      <c r="K44" s="47">
        <v>0</v>
      </c>
      <c r="L44" s="47">
        <v>0</v>
      </c>
      <c r="M44" s="47">
        <v>0</v>
      </c>
      <c r="N44" s="47">
        <v>0</v>
      </c>
      <c r="O44" s="47">
        <v>0</v>
      </c>
      <c r="P44" s="47">
        <v>0</v>
      </c>
      <c r="Q44" s="47">
        <v>0</v>
      </c>
      <c r="R44" s="47">
        <v>0</v>
      </c>
      <c r="S44" s="47">
        <v>0</v>
      </c>
      <c r="T44" s="47">
        <v>0</v>
      </c>
      <c r="U44" s="47">
        <v>0</v>
      </c>
      <c r="V44" s="47">
        <v>0</v>
      </c>
      <c r="W44" s="47">
        <v>0</v>
      </c>
      <c r="X44" s="47">
        <v>0</v>
      </c>
      <c r="Y44" s="47">
        <v>0</v>
      </c>
      <c r="Z44" s="47">
        <v>0</v>
      </c>
      <c r="AA44" s="47">
        <v>0</v>
      </c>
      <c r="AB44" s="47">
        <v>0</v>
      </c>
      <c r="AC44" s="47">
        <v>0</v>
      </c>
      <c r="AD44" s="47">
        <v>0</v>
      </c>
      <c r="AE44" s="47">
        <v>0</v>
      </c>
      <c r="AF44" s="47">
        <v>0</v>
      </c>
      <c r="AG44" s="47">
        <v>0</v>
      </c>
      <c r="AH44" s="47">
        <v>0</v>
      </c>
      <c r="AI44" s="47">
        <v>0</v>
      </c>
      <c r="AJ44" s="47">
        <v>0</v>
      </c>
      <c r="AK44" s="47">
        <v>0</v>
      </c>
      <c r="AL44" s="47">
        <v>0</v>
      </c>
      <c r="AM44" s="46"/>
      <c r="AN44" s="46"/>
      <c r="AO44" s="46"/>
      <c r="AP44" s="46"/>
      <c r="AQ44" s="46"/>
    </row>
    <row r="45" spans="2:43">
      <c r="B45" s="228" t="s">
        <v>64</v>
      </c>
      <c r="C45" s="47">
        <v>0</v>
      </c>
      <c r="D45" s="47">
        <v>0</v>
      </c>
      <c r="E45" s="47">
        <v>0</v>
      </c>
      <c r="F45" s="47">
        <v>0</v>
      </c>
      <c r="G45" s="47">
        <v>0</v>
      </c>
      <c r="H45" s="47">
        <v>0</v>
      </c>
      <c r="I45" s="47">
        <v>0</v>
      </c>
      <c r="J45" s="47">
        <v>0</v>
      </c>
      <c r="K45" s="47">
        <v>0</v>
      </c>
      <c r="L45" s="47">
        <v>0</v>
      </c>
      <c r="M45" s="47">
        <v>0</v>
      </c>
      <c r="N45" s="47">
        <v>0</v>
      </c>
      <c r="O45" s="47">
        <v>0</v>
      </c>
      <c r="P45" s="47">
        <v>0</v>
      </c>
      <c r="Q45" s="47">
        <v>0</v>
      </c>
      <c r="R45" s="47">
        <v>0</v>
      </c>
      <c r="S45" s="47">
        <v>0</v>
      </c>
      <c r="T45" s="47">
        <v>0</v>
      </c>
      <c r="U45" s="47">
        <v>0</v>
      </c>
      <c r="V45" s="47">
        <v>0</v>
      </c>
      <c r="W45" s="47">
        <v>0</v>
      </c>
      <c r="X45" s="47">
        <v>0</v>
      </c>
      <c r="Y45" s="47">
        <v>0</v>
      </c>
      <c r="Z45" s="47">
        <v>0</v>
      </c>
      <c r="AA45" s="47">
        <v>0</v>
      </c>
      <c r="AB45" s="47">
        <v>0</v>
      </c>
      <c r="AC45" s="47">
        <v>0</v>
      </c>
      <c r="AD45" s="47">
        <v>0</v>
      </c>
      <c r="AE45" s="47">
        <v>0</v>
      </c>
      <c r="AF45" s="47">
        <v>0</v>
      </c>
      <c r="AG45" s="47">
        <v>0</v>
      </c>
      <c r="AH45" s="47">
        <v>0</v>
      </c>
      <c r="AI45" s="47">
        <v>0</v>
      </c>
      <c r="AJ45" s="47">
        <v>0</v>
      </c>
      <c r="AK45" s="47">
        <v>0</v>
      </c>
      <c r="AL45" s="47">
        <v>0</v>
      </c>
      <c r="AM45" s="46"/>
      <c r="AN45" s="46"/>
      <c r="AO45" s="46"/>
      <c r="AP45" s="46"/>
      <c r="AQ45" s="46"/>
    </row>
    <row r="46" spans="2:43">
      <c r="B46" s="228" t="s">
        <v>65</v>
      </c>
      <c r="C46" s="47">
        <v>0</v>
      </c>
      <c r="D46" s="47">
        <v>0</v>
      </c>
      <c r="E46" s="47">
        <v>0</v>
      </c>
      <c r="F46" s="47">
        <v>0</v>
      </c>
      <c r="G46" s="47">
        <v>0</v>
      </c>
      <c r="H46" s="47">
        <v>0</v>
      </c>
      <c r="I46" s="47">
        <v>0</v>
      </c>
      <c r="J46" s="47">
        <v>0</v>
      </c>
      <c r="K46" s="47">
        <v>0</v>
      </c>
      <c r="L46" s="47">
        <v>0</v>
      </c>
      <c r="M46" s="47">
        <v>0</v>
      </c>
      <c r="N46" s="47">
        <v>0</v>
      </c>
      <c r="O46" s="47">
        <v>0</v>
      </c>
      <c r="P46" s="47">
        <v>0</v>
      </c>
      <c r="Q46" s="47">
        <v>0</v>
      </c>
      <c r="R46" s="47">
        <v>0</v>
      </c>
      <c r="S46" s="47">
        <v>0</v>
      </c>
      <c r="T46" s="47">
        <v>0</v>
      </c>
      <c r="U46" s="47">
        <v>0</v>
      </c>
      <c r="V46" s="47">
        <v>0</v>
      </c>
      <c r="W46" s="47">
        <v>0</v>
      </c>
      <c r="X46" s="47">
        <v>0</v>
      </c>
      <c r="Y46" s="47">
        <v>0</v>
      </c>
      <c r="Z46" s="47">
        <v>0</v>
      </c>
      <c r="AA46" s="47">
        <v>0</v>
      </c>
      <c r="AB46" s="47">
        <v>0</v>
      </c>
      <c r="AC46" s="47">
        <v>0</v>
      </c>
      <c r="AD46" s="47">
        <v>0</v>
      </c>
      <c r="AE46" s="47">
        <v>0</v>
      </c>
      <c r="AF46" s="47">
        <v>0</v>
      </c>
      <c r="AG46" s="47">
        <v>0</v>
      </c>
      <c r="AH46" s="47">
        <v>0</v>
      </c>
      <c r="AI46" s="47">
        <v>0</v>
      </c>
      <c r="AJ46" s="47">
        <v>0</v>
      </c>
      <c r="AK46" s="47">
        <v>0</v>
      </c>
      <c r="AL46" s="47">
        <v>0</v>
      </c>
      <c r="AM46" s="46"/>
      <c r="AN46" s="46"/>
      <c r="AO46" s="46"/>
      <c r="AP46" s="46"/>
      <c r="AQ46" s="46"/>
    </row>
    <row r="47" spans="2:43" ht="13.5" thickBot="1">
      <c r="B47" s="228" t="s">
        <v>24</v>
      </c>
      <c r="C47" s="47">
        <v>0</v>
      </c>
      <c r="D47" s="47">
        <v>0</v>
      </c>
      <c r="E47" s="47">
        <v>0</v>
      </c>
      <c r="F47" s="47">
        <v>0</v>
      </c>
      <c r="G47" s="47">
        <v>0</v>
      </c>
      <c r="H47" s="47">
        <v>0</v>
      </c>
      <c r="I47" s="47">
        <v>0</v>
      </c>
      <c r="J47" s="47">
        <v>0</v>
      </c>
      <c r="K47" s="47">
        <v>0</v>
      </c>
      <c r="L47" s="47">
        <v>0</v>
      </c>
      <c r="M47" s="47">
        <v>0</v>
      </c>
      <c r="N47" s="47">
        <v>0</v>
      </c>
      <c r="O47" s="47">
        <v>0</v>
      </c>
      <c r="P47" s="47">
        <v>0</v>
      </c>
      <c r="Q47" s="47">
        <v>0</v>
      </c>
      <c r="R47" s="47">
        <v>0</v>
      </c>
      <c r="S47" s="47">
        <v>0</v>
      </c>
      <c r="T47" s="47">
        <v>0</v>
      </c>
      <c r="U47" s="47">
        <v>0</v>
      </c>
      <c r="V47" s="47">
        <v>0</v>
      </c>
      <c r="W47" s="47">
        <v>0</v>
      </c>
      <c r="X47" s="47">
        <v>0</v>
      </c>
      <c r="Y47" s="47">
        <v>0</v>
      </c>
      <c r="Z47" s="47">
        <v>4.9039887954094877E-2</v>
      </c>
      <c r="AA47" s="47">
        <v>4.5061875231315447E-2</v>
      </c>
      <c r="AB47" s="47">
        <v>0</v>
      </c>
      <c r="AC47" s="47">
        <v>0</v>
      </c>
      <c r="AD47" s="47">
        <v>0</v>
      </c>
      <c r="AE47" s="47">
        <v>0</v>
      </c>
      <c r="AF47" s="47">
        <v>0</v>
      </c>
      <c r="AG47" s="47">
        <v>0</v>
      </c>
      <c r="AH47" s="47">
        <v>0</v>
      </c>
      <c r="AI47" s="47">
        <v>0</v>
      </c>
      <c r="AJ47" s="47">
        <v>0</v>
      </c>
      <c r="AK47" s="47">
        <v>0</v>
      </c>
      <c r="AL47" s="47">
        <v>0</v>
      </c>
      <c r="AM47" s="46"/>
      <c r="AN47" s="46"/>
      <c r="AO47" s="46"/>
      <c r="AP47" s="46"/>
      <c r="AQ47" s="46"/>
    </row>
    <row r="48" spans="2:43">
      <c r="B48" s="229" t="s">
        <v>30</v>
      </c>
      <c r="C48" s="230">
        <f>SUM(C49:C53)</f>
        <v>60.902596300306897</v>
      </c>
      <c r="D48" s="230">
        <f t="shared" ref="D48:L48" si="12">SUM(D49:D52)</f>
        <v>63.790950322376901</v>
      </c>
      <c r="E48" s="230">
        <f t="shared" si="12"/>
        <v>61.417716762841685</v>
      </c>
      <c r="F48" s="230">
        <f t="shared" si="12"/>
        <v>64.291832983307458</v>
      </c>
      <c r="G48" s="230">
        <f t="shared" si="12"/>
        <v>66.31360081110698</v>
      </c>
      <c r="H48" s="230">
        <f t="shared" si="12"/>
        <v>68.901521221797978</v>
      </c>
      <c r="I48" s="230">
        <f t="shared" si="12"/>
        <v>68.770021526082573</v>
      </c>
      <c r="J48" s="230">
        <f t="shared" si="12"/>
        <v>69.295700358346323</v>
      </c>
      <c r="K48" s="230">
        <f t="shared" si="12"/>
        <v>71.885060546727644</v>
      </c>
      <c r="L48" s="230">
        <f t="shared" si="12"/>
        <v>72.42241757581283</v>
      </c>
      <c r="M48" s="230">
        <f>SUM(M49:M52)</f>
        <v>73.522567706512092</v>
      </c>
      <c r="N48" s="230">
        <f t="shared" ref="N48:AG48" si="13">SUM(N49:N52)</f>
        <v>74.251895094305894</v>
      </c>
      <c r="O48" s="230">
        <f t="shared" si="13"/>
        <v>75.569451656242663</v>
      </c>
      <c r="P48" s="230">
        <f t="shared" si="13"/>
        <v>74.368997013118147</v>
      </c>
      <c r="Q48" s="230">
        <f t="shared" si="13"/>
        <v>76.009703678881081</v>
      </c>
      <c r="R48" s="230">
        <f t="shared" si="13"/>
        <v>79.138660550532492</v>
      </c>
      <c r="S48" s="230">
        <f t="shared" si="13"/>
        <v>77.307695556747333</v>
      </c>
      <c r="T48" s="230">
        <f t="shared" si="13"/>
        <v>78.808222337983679</v>
      </c>
      <c r="U48" s="230">
        <f t="shared" si="13"/>
        <v>76.399314799645552</v>
      </c>
      <c r="V48" s="230">
        <f t="shared" si="13"/>
        <v>70.674823259471509</v>
      </c>
      <c r="W48" s="230">
        <f t="shared" si="13"/>
        <v>75.182559283978208</v>
      </c>
      <c r="X48" s="230">
        <f t="shared" si="13"/>
        <v>72.893302011525634</v>
      </c>
      <c r="Y48" s="230">
        <f t="shared" si="13"/>
        <v>71.857203625427644</v>
      </c>
      <c r="Z48" s="230">
        <f t="shared" si="13"/>
        <v>69.188749741502335</v>
      </c>
      <c r="AA48" s="230">
        <f t="shared" si="13"/>
        <v>67.342511842352579</v>
      </c>
      <c r="AB48" s="230">
        <f t="shared" si="13"/>
        <v>59.82277811581362</v>
      </c>
      <c r="AC48" s="230">
        <f t="shared" si="13"/>
        <v>54.665557347640132</v>
      </c>
      <c r="AD48" s="230">
        <f t="shared" si="13"/>
        <v>53.068671373267385</v>
      </c>
      <c r="AE48" s="230">
        <f t="shared" si="13"/>
        <v>55.301145700909089</v>
      </c>
      <c r="AF48" s="230">
        <f t="shared" si="13"/>
        <v>47.985279658380655</v>
      </c>
      <c r="AG48" s="230">
        <f t="shared" si="13"/>
        <v>35.308113619134737</v>
      </c>
      <c r="AH48" s="230">
        <f t="shared" ref="AH48:AL48" si="14">SUM(AH49:AH52)</f>
        <v>0</v>
      </c>
      <c r="AI48" s="230">
        <f t="shared" si="14"/>
        <v>0</v>
      </c>
      <c r="AJ48" s="230">
        <f t="shared" si="14"/>
        <v>0</v>
      </c>
      <c r="AK48" s="230">
        <f t="shared" si="14"/>
        <v>0</v>
      </c>
      <c r="AL48" s="230">
        <f t="shared" si="14"/>
        <v>0</v>
      </c>
      <c r="AM48" s="233"/>
      <c r="AN48" s="233"/>
      <c r="AO48" s="233"/>
      <c r="AP48" s="233"/>
      <c r="AQ48" s="233"/>
    </row>
    <row r="49" spans="2:43">
      <c r="B49" s="23" t="s">
        <v>20</v>
      </c>
      <c r="C49" s="24">
        <f t="shared" ref="C49:L49" si="15">C4</f>
        <v>17.942349601401425</v>
      </c>
      <c r="D49" s="24">
        <f t="shared" si="15"/>
        <v>19.630248980346892</v>
      </c>
      <c r="E49" s="24">
        <f t="shared" si="15"/>
        <v>17.667032111953493</v>
      </c>
      <c r="F49" s="24">
        <f t="shared" si="15"/>
        <v>19.227431177656658</v>
      </c>
      <c r="G49" s="24">
        <f t="shared" si="15"/>
        <v>19.489470717293909</v>
      </c>
      <c r="H49" s="24">
        <f t="shared" si="15"/>
        <v>20.952604801251372</v>
      </c>
      <c r="I49" s="24">
        <f t="shared" si="15"/>
        <v>20.498434927606585</v>
      </c>
      <c r="J49" s="24">
        <f t="shared" si="15"/>
        <v>20.340059381671978</v>
      </c>
      <c r="K49" s="24">
        <f t="shared" si="15"/>
        <v>21.67345349820221</v>
      </c>
      <c r="L49" s="24">
        <f t="shared" si="15"/>
        <v>21.631859920482015</v>
      </c>
      <c r="M49" s="24">
        <f>M4</f>
        <v>21.91341644658797</v>
      </c>
      <c r="N49" s="24">
        <f t="shared" ref="N49:AG49" si="16">N4</f>
        <v>22.826875403443118</v>
      </c>
      <c r="O49" s="24">
        <f t="shared" si="16"/>
        <v>24.579084852555965</v>
      </c>
      <c r="P49" s="24">
        <f t="shared" si="16"/>
        <v>23.558922371318619</v>
      </c>
      <c r="Q49" s="24">
        <f t="shared" si="16"/>
        <v>23.712498658285508</v>
      </c>
      <c r="R49" s="24">
        <f t="shared" si="16"/>
        <v>26.523584610975274</v>
      </c>
      <c r="S49" s="24">
        <f t="shared" si="16"/>
        <v>25.171648946959351</v>
      </c>
      <c r="T49" s="24">
        <f t="shared" si="16"/>
        <v>25.919335638038064</v>
      </c>
      <c r="U49" s="24">
        <f t="shared" si="16"/>
        <v>24.71298998821635</v>
      </c>
      <c r="V49" s="24">
        <f t="shared" si="16"/>
        <v>22.918021561057877</v>
      </c>
      <c r="W49" s="24">
        <f t="shared" si="16"/>
        <v>25.231942913589052</v>
      </c>
      <c r="X49" s="24">
        <f t="shared" si="16"/>
        <v>24.006159241816388</v>
      </c>
      <c r="Y49" s="24">
        <f t="shared" si="16"/>
        <v>23.479377487649153</v>
      </c>
      <c r="Z49" s="24">
        <f t="shared" si="16"/>
        <v>22.625671683349175</v>
      </c>
      <c r="AA49" s="24">
        <f t="shared" si="16"/>
        <v>21.890471778993238</v>
      </c>
      <c r="AB49" s="24">
        <f t="shared" si="16"/>
        <v>19.267277725611088</v>
      </c>
      <c r="AC49" s="24">
        <f t="shared" si="16"/>
        <v>17.82391769980093</v>
      </c>
      <c r="AD49" s="24">
        <f t="shared" si="16"/>
        <v>16.910272490722466</v>
      </c>
      <c r="AE49" s="24">
        <f t="shared" si="16"/>
        <v>18.307488037745124</v>
      </c>
      <c r="AF49" s="24">
        <f t="shared" si="16"/>
        <v>15.687661472688394</v>
      </c>
      <c r="AG49" s="24">
        <f t="shared" si="16"/>
        <v>12.306223372184412</v>
      </c>
      <c r="AH49" s="24">
        <f t="shared" ref="AH49:AL49" si="17">AH4</f>
        <v>0</v>
      </c>
      <c r="AI49" s="24">
        <f t="shared" si="17"/>
        <v>0</v>
      </c>
      <c r="AJ49" s="24">
        <f t="shared" si="17"/>
        <v>0</v>
      </c>
      <c r="AK49" s="24">
        <f t="shared" si="17"/>
        <v>0</v>
      </c>
      <c r="AL49" s="24">
        <f t="shared" si="17"/>
        <v>0</v>
      </c>
      <c r="AM49" s="46"/>
      <c r="AN49" s="46"/>
      <c r="AO49" s="46"/>
      <c r="AP49" s="46"/>
      <c r="AQ49" s="46"/>
    </row>
    <row r="50" spans="2:43">
      <c r="B50" s="23" t="s">
        <v>25</v>
      </c>
      <c r="C50" s="24">
        <f t="shared" ref="C50:L50" si="18">C10</f>
        <v>21.287113151301124</v>
      </c>
      <c r="D50" s="24">
        <f t="shared" si="18"/>
        <v>22.254003857996832</v>
      </c>
      <c r="E50" s="24">
        <f t="shared" si="18"/>
        <v>21.202326242871493</v>
      </c>
      <c r="F50" s="24">
        <f t="shared" si="18"/>
        <v>22.87118856124502</v>
      </c>
      <c r="G50" s="24">
        <f t="shared" si="18"/>
        <v>23.806564134052731</v>
      </c>
      <c r="H50" s="24">
        <f t="shared" si="18"/>
        <v>24.672510427127495</v>
      </c>
      <c r="I50" s="24">
        <f t="shared" si="18"/>
        <v>24.882557994614494</v>
      </c>
      <c r="J50" s="24">
        <f t="shared" si="18"/>
        <v>25.341047201330227</v>
      </c>
      <c r="K50" s="24">
        <f t="shared" si="18"/>
        <v>26.304418451449607</v>
      </c>
      <c r="L50" s="24">
        <f t="shared" si="18"/>
        <v>27.642291876349706</v>
      </c>
      <c r="M50" s="24">
        <f>M10</f>
        <v>29.012320336333495</v>
      </c>
      <c r="N50" s="24">
        <f t="shared" ref="N50:AG50" si="19">N10</f>
        <v>28.916335156979184</v>
      </c>
      <c r="O50" s="24">
        <f t="shared" si="19"/>
        <v>29.286358023390036</v>
      </c>
      <c r="P50" s="24">
        <f t="shared" si="19"/>
        <v>27.052142998619647</v>
      </c>
      <c r="Q50" s="24">
        <f t="shared" si="19"/>
        <v>25.849928627206971</v>
      </c>
      <c r="R50" s="24">
        <f t="shared" si="19"/>
        <v>27.279307923091501</v>
      </c>
      <c r="S50" s="24">
        <f t="shared" si="19"/>
        <v>27.477838604610739</v>
      </c>
      <c r="T50" s="24">
        <f t="shared" si="19"/>
        <v>28.081441537020712</v>
      </c>
      <c r="U50" s="24">
        <f t="shared" si="19"/>
        <v>27.349104185123721</v>
      </c>
      <c r="V50" s="24">
        <f t="shared" si="19"/>
        <v>26.022755423873715</v>
      </c>
      <c r="W50" s="24">
        <f t="shared" si="19"/>
        <v>26.714366175649467</v>
      </c>
      <c r="X50" s="24">
        <f t="shared" si="19"/>
        <v>25.746388239533722</v>
      </c>
      <c r="Y50" s="24">
        <f t="shared" si="19"/>
        <v>25.434855202034591</v>
      </c>
      <c r="Z50" s="24">
        <f t="shared" si="19"/>
        <v>24.626378111796157</v>
      </c>
      <c r="AA50" s="24">
        <f t="shared" si="19"/>
        <v>24.083925386262532</v>
      </c>
      <c r="AB50" s="24">
        <f t="shared" si="19"/>
        <v>21.715988078512542</v>
      </c>
      <c r="AC50" s="24">
        <f t="shared" si="19"/>
        <v>19.730710460520275</v>
      </c>
      <c r="AD50" s="24">
        <f t="shared" si="19"/>
        <v>19.335759068844581</v>
      </c>
      <c r="AE50" s="24">
        <f t="shared" si="19"/>
        <v>19.67860396935221</v>
      </c>
      <c r="AF50" s="24">
        <f t="shared" si="19"/>
        <v>17.095557205534661</v>
      </c>
      <c r="AG50" s="24">
        <f t="shared" si="19"/>
        <v>12.123896221533265</v>
      </c>
      <c r="AH50" s="24">
        <f t="shared" ref="AH50:AL50" si="20">AH10</f>
        <v>0</v>
      </c>
      <c r="AI50" s="24">
        <f t="shared" si="20"/>
        <v>0</v>
      </c>
      <c r="AJ50" s="24">
        <f t="shared" si="20"/>
        <v>0</v>
      </c>
      <c r="AK50" s="24">
        <f t="shared" si="20"/>
        <v>0</v>
      </c>
      <c r="AL50" s="24">
        <f t="shared" si="20"/>
        <v>0</v>
      </c>
      <c r="AM50" s="46"/>
      <c r="AN50" s="46"/>
      <c r="AO50" s="46"/>
      <c r="AP50" s="46"/>
      <c r="AQ50" s="46"/>
    </row>
    <row r="51" spans="2:43">
      <c r="B51" s="23" t="s">
        <v>26</v>
      </c>
      <c r="C51" s="47">
        <f t="shared" ref="C51:L51" si="21">C21</f>
        <v>21.450607906801288</v>
      </c>
      <c r="D51" s="47">
        <f t="shared" si="21"/>
        <v>21.676333053582837</v>
      </c>
      <c r="E51" s="47">
        <f t="shared" si="21"/>
        <v>22.323753088327628</v>
      </c>
      <c r="F51" s="47">
        <f t="shared" si="21"/>
        <v>21.969567776510242</v>
      </c>
      <c r="G51" s="47">
        <f t="shared" si="21"/>
        <v>22.796960022544361</v>
      </c>
      <c r="H51" s="47">
        <f t="shared" si="21"/>
        <v>23.062039092861166</v>
      </c>
      <c r="I51" s="47">
        <f t="shared" si="21"/>
        <v>23.156104568628379</v>
      </c>
      <c r="J51" s="47">
        <f t="shared" si="21"/>
        <v>23.381989690708853</v>
      </c>
      <c r="K51" s="47">
        <f t="shared" si="21"/>
        <v>23.676824166625494</v>
      </c>
      <c r="L51" s="47">
        <f t="shared" si="21"/>
        <v>22.909742608285665</v>
      </c>
      <c r="M51" s="47">
        <f>M21</f>
        <v>22.346149630176964</v>
      </c>
      <c r="N51" s="47">
        <f t="shared" ref="N51:AG51" si="22">N21</f>
        <v>22.259123067562403</v>
      </c>
      <c r="O51" s="47">
        <f t="shared" si="22"/>
        <v>21.444528845442189</v>
      </c>
      <c r="P51" s="47">
        <f t="shared" si="22"/>
        <v>23.493812424656614</v>
      </c>
      <c r="Q51" s="47">
        <f t="shared" si="22"/>
        <v>26.204433889622202</v>
      </c>
      <c r="R51" s="47">
        <f t="shared" si="22"/>
        <v>25.047492527804966</v>
      </c>
      <c r="S51" s="47">
        <f t="shared" si="22"/>
        <v>24.376515344738554</v>
      </c>
      <c r="T51" s="47">
        <f t="shared" si="22"/>
        <v>24.513144469682757</v>
      </c>
      <c r="U51" s="47">
        <f t="shared" si="22"/>
        <v>24.038246321464179</v>
      </c>
      <c r="V51" s="47">
        <f t="shared" si="22"/>
        <v>21.461427364973055</v>
      </c>
      <c r="W51" s="47">
        <f t="shared" si="22"/>
        <v>22.945367059530998</v>
      </c>
      <c r="X51" s="47">
        <f t="shared" si="22"/>
        <v>22.877305480087205</v>
      </c>
      <c r="Y51" s="47">
        <f t="shared" si="22"/>
        <v>22.666257927840917</v>
      </c>
      <c r="Z51" s="47">
        <f t="shared" si="22"/>
        <v>21.656992865087449</v>
      </c>
      <c r="AA51" s="47">
        <f t="shared" si="22"/>
        <v>21.091318401799317</v>
      </c>
      <c r="AB51" s="47">
        <f t="shared" si="22"/>
        <v>18.61348723934314</v>
      </c>
      <c r="AC51" s="47">
        <f t="shared" si="22"/>
        <v>16.909992963234075</v>
      </c>
      <c r="AD51" s="47">
        <f t="shared" si="22"/>
        <v>16.621413420797012</v>
      </c>
      <c r="AE51" s="47">
        <f t="shared" si="22"/>
        <v>17.101342302748368</v>
      </c>
      <c r="AF51" s="47">
        <f t="shared" si="22"/>
        <v>15.004302823128217</v>
      </c>
      <c r="AG51" s="47">
        <f t="shared" si="22"/>
        <v>10.758083067298163</v>
      </c>
      <c r="AH51" s="47">
        <f t="shared" ref="AH51:AL51" si="23">AH21</f>
        <v>0</v>
      </c>
      <c r="AI51" s="47">
        <f t="shared" si="23"/>
        <v>0</v>
      </c>
      <c r="AJ51" s="47">
        <f t="shared" si="23"/>
        <v>0</v>
      </c>
      <c r="AK51" s="47">
        <f t="shared" si="23"/>
        <v>0</v>
      </c>
      <c r="AL51" s="47">
        <f t="shared" si="23"/>
        <v>0</v>
      </c>
      <c r="AM51" s="46"/>
      <c r="AN51" s="46"/>
      <c r="AO51" s="46"/>
      <c r="AP51" s="46"/>
      <c r="AQ51" s="46"/>
    </row>
    <row r="52" spans="2:43">
      <c r="B52" s="23" t="s">
        <v>27</v>
      </c>
      <c r="C52" s="47">
        <f>C38</f>
        <v>0.22252564080306519</v>
      </c>
      <c r="D52" s="47">
        <f t="shared" ref="D52:L52" si="24">D38</f>
        <v>0.2303644304503335</v>
      </c>
      <c r="E52" s="47">
        <f t="shared" si="24"/>
        <v>0.22460531968907513</v>
      </c>
      <c r="F52" s="47">
        <f t="shared" si="24"/>
        <v>0.22364546789553214</v>
      </c>
      <c r="G52" s="47">
        <f t="shared" si="24"/>
        <v>0.2206059372159791</v>
      </c>
      <c r="H52" s="47">
        <f t="shared" si="24"/>
        <v>0.21436690055794927</v>
      </c>
      <c r="I52" s="47">
        <f t="shared" si="24"/>
        <v>0.23292403523311503</v>
      </c>
      <c r="J52" s="47">
        <f t="shared" si="24"/>
        <v>0.23260408463526733</v>
      </c>
      <c r="K52" s="47">
        <f t="shared" si="24"/>
        <v>0.2303644304503335</v>
      </c>
      <c r="L52" s="47">
        <f t="shared" si="24"/>
        <v>0.23852317069544945</v>
      </c>
      <c r="M52" s="47">
        <f>M38</f>
        <v>0.25068129341366152</v>
      </c>
      <c r="N52" s="47">
        <f t="shared" ref="N52:AG52" si="25">N38</f>
        <v>0.24956146632119464</v>
      </c>
      <c r="O52" s="47">
        <f t="shared" si="25"/>
        <v>0.25947993485447285</v>
      </c>
      <c r="P52" s="47">
        <f t="shared" si="25"/>
        <v>0.26411921852326431</v>
      </c>
      <c r="Q52" s="47">
        <f t="shared" si="25"/>
        <v>0.24284250376639321</v>
      </c>
      <c r="R52" s="47">
        <f t="shared" si="25"/>
        <v>0.28827548866076463</v>
      </c>
      <c r="S52" s="47">
        <f t="shared" si="25"/>
        <v>0.28169266043869357</v>
      </c>
      <c r="T52" s="47">
        <f t="shared" si="25"/>
        <v>0.29430069324215274</v>
      </c>
      <c r="U52" s="47">
        <f t="shared" si="25"/>
        <v>0.29897430484131049</v>
      </c>
      <c r="V52" s="47">
        <f t="shared" si="25"/>
        <v>0.2726189095668537</v>
      </c>
      <c r="W52" s="47">
        <f t="shared" si="25"/>
        <v>0.29088313520869108</v>
      </c>
      <c r="X52" s="47">
        <f t="shared" si="25"/>
        <v>0.26344905008831992</v>
      </c>
      <c r="Y52" s="47">
        <f t="shared" si="25"/>
        <v>0.27671300790298198</v>
      </c>
      <c r="Z52" s="47">
        <f t="shared" si="25"/>
        <v>0.27970708126955152</v>
      </c>
      <c r="AA52" s="47">
        <f t="shared" si="25"/>
        <v>0.27679627529749251</v>
      </c>
      <c r="AB52" s="47">
        <f t="shared" si="25"/>
        <v>0.22602507234684346</v>
      </c>
      <c r="AC52" s="47">
        <f t="shared" si="25"/>
        <v>0.20093622408485864</v>
      </c>
      <c r="AD52" s="47">
        <f t="shared" si="25"/>
        <v>0.20122639290333044</v>
      </c>
      <c r="AE52" s="47">
        <f t="shared" si="25"/>
        <v>0.21371139106338524</v>
      </c>
      <c r="AF52" s="47">
        <f t="shared" si="25"/>
        <v>0.19775815702939181</v>
      </c>
      <c r="AG52" s="47">
        <f t="shared" si="25"/>
        <v>0.11991095811890179</v>
      </c>
      <c r="AH52" s="47">
        <f t="shared" ref="AH52:AL52" si="26">AH38</f>
        <v>0</v>
      </c>
      <c r="AI52" s="47">
        <f t="shared" si="26"/>
        <v>0</v>
      </c>
      <c r="AJ52" s="47">
        <f t="shared" si="26"/>
        <v>0</v>
      </c>
      <c r="AK52" s="47">
        <f t="shared" si="26"/>
        <v>0</v>
      </c>
      <c r="AL52" s="47">
        <f t="shared" si="26"/>
        <v>0</v>
      </c>
      <c r="AM52" s="46"/>
      <c r="AN52" s="46"/>
      <c r="AO52" s="46"/>
      <c r="AP52" s="46"/>
      <c r="AQ52" s="46"/>
    </row>
    <row r="53" spans="2:43" ht="13.5" thickBot="1">
      <c r="B53" s="333" t="s">
        <v>31</v>
      </c>
      <c r="C53" s="353"/>
      <c r="D53" s="353"/>
      <c r="E53" s="353"/>
      <c r="F53" s="353"/>
      <c r="G53" s="353"/>
      <c r="H53" s="353"/>
      <c r="I53" s="353"/>
      <c r="J53" s="353"/>
      <c r="K53" s="353"/>
      <c r="L53" s="353"/>
      <c r="M53" s="353"/>
      <c r="N53" s="353"/>
      <c r="O53" s="353"/>
      <c r="P53" s="353"/>
      <c r="Q53" s="353"/>
      <c r="R53" s="353"/>
      <c r="S53" s="353"/>
      <c r="T53" s="353"/>
      <c r="U53" s="353"/>
      <c r="V53" s="353"/>
      <c r="W53" s="353"/>
      <c r="X53" s="353"/>
      <c r="Y53" s="353"/>
      <c r="Z53" s="353"/>
      <c r="AA53" s="353"/>
      <c r="AB53" s="353"/>
      <c r="AC53" s="353"/>
      <c r="AD53" s="353"/>
      <c r="AE53" s="353"/>
      <c r="AF53" s="353"/>
      <c r="AG53" s="353"/>
      <c r="AH53" s="353"/>
      <c r="AI53" s="353"/>
      <c r="AJ53" s="353"/>
      <c r="AK53" s="353"/>
      <c r="AL53" s="353"/>
      <c r="AM53" s="233"/>
      <c r="AN53" s="233"/>
      <c r="AO53" s="233"/>
      <c r="AP53" s="233"/>
      <c r="AQ53" s="233"/>
    </row>
    <row r="54" spans="2:43" s="279" customFormat="1" ht="14">
      <c r="B54" s="276">
        <f>MAX(C54:AL54)</f>
        <v>2020</v>
      </c>
      <c r="C54" s="279">
        <f>1990</f>
        <v>1990</v>
      </c>
      <c r="D54" s="279">
        <f>IF(D48=0,0,D3)</f>
        <v>1991</v>
      </c>
      <c r="E54" s="279">
        <f t="shared" ref="E54:AL54" si="27">IF(E48=0,0,E3)</f>
        <v>1992</v>
      </c>
      <c r="F54" s="279">
        <f t="shared" si="27"/>
        <v>1993</v>
      </c>
      <c r="G54" s="279">
        <f t="shared" si="27"/>
        <v>1994</v>
      </c>
      <c r="H54" s="279">
        <f t="shared" si="27"/>
        <v>1995</v>
      </c>
      <c r="I54" s="279">
        <f t="shared" si="27"/>
        <v>1996</v>
      </c>
      <c r="J54" s="279">
        <f t="shared" si="27"/>
        <v>1997</v>
      </c>
      <c r="K54" s="279">
        <f t="shared" si="27"/>
        <v>1998</v>
      </c>
      <c r="L54" s="279">
        <f t="shared" si="27"/>
        <v>1999</v>
      </c>
      <c r="M54" s="279">
        <f t="shared" si="27"/>
        <v>2000</v>
      </c>
      <c r="N54" s="279">
        <f t="shared" si="27"/>
        <v>2001</v>
      </c>
      <c r="O54" s="279">
        <f t="shared" si="27"/>
        <v>2002</v>
      </c>
      <c r="P54" s="279">
        <f t="shared" si="27"/>
        <v>2003</v>
      </c>
      <c r="Q54" s="279">
        <f t="shared" si="27"/>
        <v>2004</v>
      </c>
      <c r="R54" s="279">
        <f t="shared" si="27"/>
        <v>2005</v>
      </c>
      <c r="S54" s="279">
        <f t="shared" si="27"/>
        <v>2006</v>
      </c>
      <c r="T54" s="279">
        <f t="shared" si="27"/>
        <v>2007</v>
      </c>
      <c r="U54" s="279">
        <f t="shared" si="27"/>
        <v>2008</v>
      </c>
      <c r="V54" s="279">
        <f t="shared" si="27"/>
        <v>2009</v>
      </c>
      <c r="W54" s="279">
        <f t="shared" si="27"/>
        <v>2010</v>
      </c>
      <c r="X54" s="279">
        <f t="shared" si="27"/>
        <v>2011</v>
      </c>
      <c r="Y54" s="279">
        <f t="shared" si="27"/>
        <v>2012</v>
      </c>
      <c r="Z54" s="279">
        <f t="shared" si="27"/>
        <v>2013</v>
      </c>
      <c r="AA54" s="279">
        <f t="shared" si="27"/>
        <v>2014</v>
      </c>
      <c r="AB54" s="279">
        <f t="shared" si="27"/>
        <v>2015</v>
      </c>
      <c r="AC54" s="279">
        <f t="shared" si="27"/>
        <v>2016</v>
      </c>
      <c r="AD54" s="279">
        <f t="shared" si="27"/>
        <v>2017</v>
      </c>
      <c r="AE54" s="279">
        <f t="shared" si="27"/>
        <v>2018</v>
      </c>
      <c r="AF54" s="279">
        <f t="shared" si="27"/>
        <v>2019</v>
      </c>
      <c r="AG54" s="279">
        <f t="shared" si="27"/>
        <v>2020</v>
      </c>
      <c r="AH54" s="279">
        <f t="shared" si="27"/>
        <v>0</v>
      </c>
      <c r="AI54" s="279">
        <f t="shared" si="27"/>
        <v>0</v>
      </c>
      <c r="AJ54" s="279">
        <f t="shared" si="27"/>
        <v>0</v>
      </c>
      <c r="AK54" s="279">
        <f t="shared" si="27"/>
        <v>0</v>
      </c>
      <c r="AL54" s="279">
        <f t="shared" si="27"/>
        <v>0</v>
      </c>
    </row>
    <row r="55" spans="2:43" s="276" customFormat="1" ht="15.5">
      <c r="C55" s="283">
        <v>1</v>
      </c>
      <c r="D55" s="283">
        <f>IF(D3&lt;=$B54,C55+1,0)</f>
        <v>2</v>
      </c>
      <c r="E55" s="283">
        <f t="shared" ref="E55:AL55" si="28">IF(E3&lt;=$B54,D55+1,0)</f>
        <v>3</v>
      </c>
      <c r="F55" s="283">
        <f t="shared" si="28"/>
        <v>4</v>
      </c>
      <c r="G55" s="283">
        <f t="shared" si="28"/>
        <v>5</v>
      </c>
      <c r="H55" s="283">
        <f t="shared" si="28"/>
        <v>6</v>
      </c>
      <c r="I55" s="283">
        <f t="shared" si="28"/>
        <v>7</v>
      </c>
      <c r="J55" s="283">
        <f t="shared" si="28"/>
        <v>8</v>
      </c>
      <c r="K55" s="283">
        <f t="shared" si="28"/>
        <v>9</v>
      </c>
      <c r="L55" s="283">
        <f t="shared" si="28"/>
        <v>10</v>
      </c>
      <c r="M55" s="283">
        <f t="shared" si="28"/>
        <v>11</v>
      </c>
      <c r="N55" s="283">
        <f t="shared" si="28"/>
        <v>12</v>
      </c>
      <c r="O55" s="283">
        <f t="shared" si="28"/>
        <v>13</v>
      </c>
      <c r="P55" s="283">
        <f t="shared" si="28"/>
        <v>14</v>
      </c>
      <c r="Q55" s="283">
        <f t="shared" si="28"/>
        <v>15</v>
      </c>
      <c r="R55" s="283">
        <f t="shared" si="28"/>
        <v>16</v>
      </c>
      <c r="S55" s="283">
        <f t="shared" si="28"/>
        <v>17</v>
      </c>
      <c r="T55" s="283">
        <f t="shared" si="28"/>
        <v>18</v>
      </c>
      <c r="U55" s="283">
        <f t="shared" si="28"/>
        <v>19</v>
      </c>
      <c r="V55" s="283">
        <f t="shared" si="28"/>
        <v>20</v>
      </c>
      <c r="W55" s="283">
        <f t="shared" si="28"/>
        <v>21</v>
      </c>
      <c r="X55" s="283">
        <f t="shared" si="28"/>
        <v>22</v>
      </c>
      <c r="Y55" s="283">
        <f t="shared" si="28"/>
        <v>23</v>
      </c>
      <c r="Z55" s="283">
        <f t="shared" si="28"/>
        <v>24</v>
      </c>
      <c r="AA55" s="283">
        <f t="shared" si="28"/>
        <v>25</v>
      </c>
      <c r="AB55" s="283">
        <f t="shared" si="28"/>
        <v>26</v>
      </c>
      <c r="AC55" s="283">
        <f t="shared" si="28"/>
        <v>27</v>
      </c>
      <c r="AD55" s="283">
        <f t="shared" si="28"/>
        <v>28</v>
      </c>
      <c r="AE55" s="283">
        <f t="shared" si="28"/>
        <v>29</v>
      </c>
      <c r="AF55" s="283">
        <f t="shared" si="28"/>
        <v>30</v>
      </c>
      <c r="AG55" s="283">
        <f t="shared" si="28"/>
        <v>31</v>
      </c>
      <c r="AH55" s="283">
        <f t="shared" si="28"/>
        <v>0</v>
      </c>
      <c r="AI55" s="283">
        <f t="shared" si="28"/>
        <v>0</v>
      </c>
      <c r="AJ55" s="283">
        <f t="shared" si="28"/>
        <v>0</v>
      </c>
      <c r="AK55" s="283">
        <f t="shared" si="28"/>
        <v>0</v>
      </c>
      <c r="AL55" s="283">
        <f t="shared" si="28"/>
        <v>0</v>
      </c>
    </row>
    <row r="56" spans="2:43" ht="21.5">
      <c r="M56" s="38"/>
      <c r="O56" s="276"/>
      <c r="P56" s="276"/>
      <c r="Q56" s="303"/>
      <c r="R56" s="303"/>
      <c r="S56" s="303"/>
      <c r="T56" s="303"/>
      <c r="U56" s="38"/>
    </row>
    <row r="57" spans="2:43">
      <c r="O57" s="276"/>
      <c r="P57" s="276"/>
      <c r="Q57" s="303"/>
      <c r="R57" s="303"/>
      <c r="S57" s="303"/>
      <c r="T57" s="303"/>
    </row>
    <row r="58" spans="2:43">
      <c r="O58" s="276" t="str">
        <f>"Indirect Emissions by Sector, 1990-"&amp;B54</f>
        <v>Indirect Emissions by Sector, 1990-2020</v>
      </c>
      <c r="P58" s="276"/>
      <c r="Q58" s="303"/>
      <c r="R58" s="303"/>
      <c r="S58" s="303"/>
      <c r="T58" s="303"/>
    </row>
    <row r="59" spans="2:43">
      <c r="O59" s="276"/>
      <c r="P59" s="276"/>
      <c r="Q59" s="303"/>
      <c r="R59" s="303"/>
      <c r="S59" s="303"/>
      <c r="T59" s="303"/>
    </row>
    <row r="60" spans="2:43">
      <c r="O60" s="276"/>
      <c r="P60" s="276"/>
      <c r="Q60" s="303"/>
      <c r="R60" s="303"/>
      <c r="S60" s="303"/>
      <c r="T60" s="303"/>
    </row>
    <row r="61" spans="2:43">
      <c r="O61" s="276"/>
      <c r="P61" s="276"/>
      <c r="Q61" s="303"/>
      <c r="R61" s="303"/>
      <c r="S61" s="303"/>
      <c r="T61" s="303"/>
    </row>
    <row r="62" spans="2:43">
      <c r="O62" s="276"/>
      <c r="P62" s="276"/>
      <c r="Q62" s="303"/>
      <c r="R62" s="303"/>
      <c r="S62" s="303"/>
      <c r="T62" s="303"/>
    </row>
    <row r="63" spans="2:43">
      <c r="O63" s="276"/>
      <c r="P63" s="276"/>
      <c r="Q63" s="303"/>
      <c r="R63" s="303"/>
      <c r="S63" s="303"/>
      <c r="T63" s="303"/>
    </row>
    <row r="64" spans="2:43">
      <c r="O64" s="303"/>
      <c r="P64" s="303"/>
      <c r="Q64" s="303"/>
      <c r="R64" s="303"/>
      <c r="S64" s="303"/>
      <c r="T64" s="303"/>
    </row>
    <row r="65" spans="15:20">
      <c r="O65" s="303"/>
      <c r="P65" s="303"/>
      <c r="Q65" s="303"/>
      <c r="R65" s="303"/>
      <c r="S65" s="303"/>
      <c r="T65" s="303"/>
    </row>
  </sheetData>
  <sheetProtection algorithmName="SHA-512" hashValue="DLJ7gCrb8Kx4RXM4ywCaS1WnQUYuyWayNr53D3W6LzILEWAF7E5Vld5CgcUrd6FnteO1hl2u0mN/Cvyy6XWdwg==" saltValue="MQWjwt5JQpy7pKQieS0Syw==" spinCount="100000" sheet="1" objects="1" scenarios="1"/>
  <protectedRanges>
    <protectedRange sqref="C54:AL54" name="AES Indirect"/>
  </protectedRanges>
  <mergeCells count="1">
    <mergeCell ref="A1:O1"/>
  </mergeCells>
  <phoneticPr fontId="0" type="noConversion"/>
  <pageMargins left="0.75" right="0.75" top="1" bottom="1" header="0.5" footer="0.5"/>
  <pageSetup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03"/>
  <dimension ref="A1:AZ35"/>
  <sheetViews>
    <sheetView showGridLines="0" showRowColHeaders="0" workbookViewId="0">
      <selection activeCell="B3" sqref="B3"/>
    </sheetView>
  </sheetViews>
  <sheetFormatPr defaultColWidth="9.1796875" defaultRowHeight="15.5"/>
  <cols>
    <col min="1" max="1" width="10.1796875" style="131" customWidth="1"/>
    <col min="2" max="2" width="22" style="131" customWidth="1"/>
    <col min="3" max="3" width="19.1796875" style="131" bestFit="1" customWidth="1"/>
    <col min="4" max="16384" width="9.1796875" style="131"/>
  </cols>
  <sheetData>
    <row r="1" spans="1:52" ht="42.75" customHeight="1">
      <c r="A1" s="426" t="str">
        <f>"Summary of CH4 and N2O Emissions from Stationary Combustion in "&amp;StateName&amp;" (MMTCO2E)"</f>
        <v>Summary of CH4 and N2O Emissions from Stationary Combustion in Illinois (MMTCO2E)</v>
      </c>
      <c r="B1" s="426"/>
      <c r="C1" s="426"/>
      <c r="D1" s="426"/>
      <c r="E1" s="426"/>
      <c r="F1" s="426"/>
      <c r="G1" s="426"/>
      <c r="H1" s="426"/>
      <c r="AZ1" s="223">
        <v>45329.445632291667</v>
      </c>
    </row>
    <row r="2" spans="1:52" ht="81" customHeight="1"/>
    <row r="3" spans="1:52" ht="16" thickBot="1">
      <c r="B3" s="56" t="s">
        <v>19</v>
      </c>
      <c r="C3" s="115">
        <v>1990</v>
      </c>
      <c r="D3" s="115">
        <v>1991</v>
      </c>
      <c r="E3" s="115">
        <v>1992</v>
      </c>
      <c r="F3" s="115">
        <v>1993</v>
      </c>
      <c r="G3" s="115">
        <v>1994</v>
      </c>
      <c r="H3" s="115">
        <v>1995</v>
      </c>
      <c r="I3" s="115">
        <v>1996</v>
      </c>
      <c r="J3" s="115">
        <v>1997</v>
      </c>
      <c r="K3" s="115">
        <v>1998</v>
      </c>
      <c r="L3" s="115">
        <v>1999</v>
      </c>
      <c r="M3" s="115">
        <v>2000</v>
      </c>
      <c r="N3" s="115">
        <v>2001</v>
      </c>
      <c r="O3" s="115">
        <v>2002</v>
      </c>
      <c r="P3" s="115">
        <v>2003</v>
      </c>
      <c r="Q3" s="115">
        <v>2004</v>
      </c>
      <c r="R3" s="115">
        <v>2005</v>
      </c>
      <c r="S3" s="115">
        <v>2006</v>
      </c>
      <c r="T3" s="115">
        <v>2007</v>
      </c>
      <c r="U3" s="115">
        <v>2008</v>
      </c>
      <c r="V3" s="115">
        <v>2009</v>
      </c>
      <c r="W3" s="115">
        <v>2010</v>
      </c>
      <c r="X3" s="115">
        <v>2011</v>
      </c>
      <c r="Y3" s="115">
        <v>2012</v>
      </c>
      <c r="Z3" s="115">
        <v>2013</v>
      </c>
      <c r="AA3" s="115">
        <v>2014</v>
      </c>
      <c r="AB3" s="115">
        <v>2015</v>
      </c>
      <c r="AC3" s="115">
        <v>2016</v>
      </c>
      <c r="AD3" s="115">
        <v>2017</v>
      </c>
      <c r="AE3" s="115">
        <v>2018</v>
      </c>
      <c r="AF3" s="115">
        <v>2019</v>
      </c>
      <c r="AG3" s="115">
        <v>2020</v>
      </c>
      <c r="AH3" s="115">
        <v>2021</v>
      </c>
      <c r="AI3" s="115">
        <v>2022</v>
      </c>
      <c r="AJ3" s="115">
        <v>2023</v>
      </c>
      <c r="AK3" s="115">
        <v>2024</v>
      </c>
      <c r="AL3" s="115">
        <v>2025</v>
      </c>
    </row>
    <row r="4" spans="1:52">
      <c r="B4" s="21" t="s">
        <v>20</v>
      </c>
      <c r="C4" s="190">
        <f t="shared" ref="C4:L4" si="0">SUM(C5:C6)</f>
        <v>0.3795516115</v>
      </c>
      <c r="D4" s="190">
        <f t="shared" si="0"/>
        <v>0.39659838374999995</v>
      </c>
      <c r="E4" s="190">
        <f t="shared" si="0"/>
        <v>0.41283148732999997</v>
      </c>
      <c r="F4" s="190">
        <f t="shared" si="0"/>
        <v>0.26032035872999998</v>
      </c>
      <c r="G4" s="190">
        <f t="shared" si="0"/>
        <v>0.24659562755999995</v>
      </c>
      <c r="H4" s="190">
        <f t="shared" si="0"/>
        <v>0.24926878746999998</v>
      </c>
      <c r="I4" s="190">
        <f t="shared" si="0"/>
        <v>0.26220229360000002</v>
      </c>
      <c r="J4" s="190">
        <f t="shared" si="0"/>
        <v>0.20125326838999996</v>
      </c>
      <c r="K4" s="190">
        <f t="shared" si="0"/>
        <v>0.17218468782999996</v>
      </c>
      <c r="L4" s="190">
        <f t="shared" si="0"/>
        <v>0.18408188534999997</v>
      </c>
      <c r="M4" s="190">
        <f t="shared" ref="M4:R4" si="1">SUM(M5:M6)</f>
        <v>0.19251929063000001</v>
      </c>
      <c r="N4" s="190">
        <f t="shared" si="1"/>
        <v>0.22064515199999998</v>
      </c>
      <c r="O4" s="190">
        <f t="shared" si="1"/>
        <v>0.22871737892999999</v>
      </c>
      <c r="P4" s="190">
        <f t="shared" si="1"/>
        <v>0.23967408475999996</v>
      </c>
      <c r="Q4" s="190">
        <f t="shared" si="1"/>
        <v>0.23623273482999999</v>
      </c>
      <c r="R4" s="190">
        <f t="shared" si="1"/>
        <v>0.13700019673000002</v>
      </c>
      <c r="S4" s="190">
        <f t="shared" ref="S4:AG4" si="2">SUM(S5:S6)</f>
        <v>0.12482105766999999</v>
      </c>
      <c r="T4" s="190">
        <f t="shared" si="2"/>
        <v>0.13738720502000001</v>
      </c>
      <c r="U4" s="190">
        <f t="shared" si="2"/>
        <v>0.14914373945999998</v>
      </c>
      <c r="V4" s="190">
        <f t="shared" si="2"/>
        <v>0.20709018412999997</v>
      </c>
      <c r="W4" s="190">
        <f t="shared" si="2"/>
        <v>0.21228459644999995</v>
      </c>
      <c r="X4" s="190">
        <f t="shared" si="2"/>
        <v>0.20729170988000001</v>
      </c>
      <c r="Y4" s="190">
        <f t="shared" si="2"/>
        <v>0.17484585902999997</v>
      </c>
      <c r="Z4" s="190">
        <f t="shared" si="2"/>
        <v>0.22619694017000003</v>
      </c>
      <c r="AA4" s="190">
        <f t="shared" si="2"/>
        <v>0.23079630708999993</v>
      </c>
      <c r="AB4" s="190">
        <f t="shared" si="2"/>
        <v>0.12643061286000001</v>
      </c>
      <c r="AC4" s="190">
        <f t="shared" si="2"/>
        <v>0.11802364113</v>
      </c>
      <c r="AD4" s="190">
        <f t="shared" si="2"/>
        <v>0.11031739269999999</v>
      </c>
      <c r="AE4" s="190">
        <f t="shared" si="2"/>
        <v>0.13381545932</v>
      </c>
      <c r="AF4" s="190">
        <f t="shared" si="2"/>
        <v>0.13964312385999997</v>
      </c>
      <c r="AG4" s="190">
        <f t="shared" si="2"/>
        <v>0.12139825096999997</v>
      </c>
      <c r="AH4" s="190">
        <f t="shared" ref="AH4:AL4" si="3">SUM(AH5:AH6)</f>
        <v>0</v>
      </c>
      <c r="AI4" s="190">
        <f t="shared" si="3"/>
        <v>0</v>
      </c>
      <c r="AJ4" s="190">
        <f t="shared" si="3"/>
        <v>0</v>
      </c>
      <c r="AK4" s="190">
        <f t="shared" si="3"/>
        <v>0</v>
      </c>
      <c r="AL4" s="190">
        <f t="shared" si="3"/>
        <v>0</v>
      </c>
    </row>
    <row r="5" spans="1:52">
      <c r="B5" s="116" t="s">
        <v>66</v>
      </c>
      <c r="C5" s="191">
        <v>4.6986657099999996E-2</v>
      </c>
      <c r="D5" s="191">
        <v>4.9283075549999993E-2</v>
      </c>
      <c r="E5" s="191">
        <v>5.084209705E-2</v>
      </c>
      <c r="F5" s="191">
        <v>3.3890895049999994E-2</v>
      </c>
      <c r="G5" s="191">
        <v>3.2273597399999999E-2</v>
      </c>
      <c r="H5" s="191">
        <v>3.2933518949999997E-2</v>
      </c>
      <c r="I5" s="191">
        <v>3.5274245399999994E-2</v>
      </c>
      <c r="J5" s="191">
        <v>2.8064716350000001E-2</v>
      </c>
      <c r="K5" s="191">
        <v>2.3832358949999997E-2</v>
      </c>
      <c r="L5" s="191">
        <v>2.6608170350000002E-2</v>
      </c>
      <c r="M5" s="191">
        <v>2.688120515E-2</v>
      </c>
      <c r="N5" s="191">
        <v>2.9128768199999992E-2</v>
      </c>
      <c r="O5" s="191">
        <v>3.0825841449999999E-2</v>
      </c>
      <c r="P5" s="191">
        <v>3.1558139799999996E-2</v>
      </c>
      <c r="Q5" s="191">
        <v>3.1024639150000002E-2</v>
      </c>
      <c r="R5" s="191">
        <v>2.0025808849999997E-2</v>
      </c>
      <c r="S5" s="191">
        <v>1.850049535E-2</v>
      </c>
      <c r="T5" s="191">
        <v>2.0312371899999997E-2</v>
      </c>
      <c r="U5" s="191">
        <v>2.2856022099999995E-2</v>
      </c>
      <c r="V5" s="191">
        <v>2.8852821050000001E-2</v>
      </c>
      <c r="W5" s="191">
        <v>2.9308440849999996E-2</v>
      </c>
      <c r="X5" s="191">
        <v>2.8423030799999999E-2</v>
      </c>
      <c r="Y5" s="191">
        <v>2.3954280149999996E-2</v>
      </c>
      <c r="Z5" s="191">
        <v>3.108131204999999E-2</v>
      </c>
      <c r="AA5" s="191">
        <v>3.1304844849999992E-2</v>
      </c>
      <c r="AB5" s="191">
        <v>1.8923665900000001E-2</v>
      </c>
      <c r="AC5" s="191">
        <v>1.7797720649999998E-2</v>
      </c>
      <c r="AD5" s="191">
        <v>1.6845016500000001E-2</v>
      </c>
      <c r="AE5" s="191">
        <v>2.0331488999999998E-2</v>
      </c>
      <c r="AF5" s="191">
        <v>2.1589650699999994E-2</v>
      </c>
      <c r="AG5" s="191">
        <v>1.9156396849999997E-2</v>
      </c>
      <c r="AH5" s="24">
        <v>0</v>
      </c>
      <c r="AI5" s="24">
        <v>0</v>
      </c>
      <c r="AJ5" s="24">
        <v>0</v>
      </c>
      <c r="AK5" s="24">
        <v>0</v>
      </c>
      <c r="AL5" s="24">
        <v>0</v>
      </c>
    </row>
    <row r="6" spans="1:52">
      <c r="B6" s="116" t="s">
        <v>67</v>
      </c>
      <c r="C6" s="191">
        <v>0.3325649544</v>
      </c>
      <c r="D6" s="191">
        <v>0.34731530819999995</v>
      </c>
      <c r="E6" s="191">
        <v>0.36198939027999999</v>
      </c>
      <c r="F6" s="191">
        <v>0.22642946367999997</v>
      </c>
      <c r="G6" s="191">
        <v>0.21432203015999995</v>
      </c>
      <c r="H6" s="191">
        <v>0.21633526851999998</v>
      </c>
      <c r="I6" s="191">
        <v>0.22692804820000001</v>
      </c>
      <c r="J6" s="191">
        <v>0.17318855203999997</v>
      </c>
      <c r="K6" s="191">
        <v>0.14835232887999997</v>
      </c>
      <c r="L6" s="191">
        <v>0.15747371499999996</v>
      </c>
      <c r="M6" s="191">
        <v>0.16563808548</v>
      </c>
      <c r="N6" s="191">
        <v>0.1915163838</v>
      </c>
      <c r="O6" s="191">
        <v>0.19789153747999999</v>
      </c>
      <c r="P6" s="191">
        <v>0.20811594495999997</v>
      </c>
      <c r="Q6" s="191">
        <v>0.20520809567999998</v>
      </c>
      <c r="R6" s="191">
        <v>0.11697438788000002</v>
      </c>
      <c r="S6" s="191">
        <v>0.10632056231999998</v>
      </c>
      <c r="T6" s="191">
        <v>0.11707483312000001</v>
      </c>
      <c r="U6" s="191">
        <v>0.12628771736</v>
      </c>
      <c r="V6" s="191">
        <v>0.17823736307999996</v>
      </c>
      <c r="W6" s="191">
        <v>0.18297615559999994</v>
      </c>
      <c r="X6" s="191">
        <v>0.17886867908000001</v>
      </c>
      <c r="Y6" s="191">
        <v>0.15089157887999996</v>
      </c>
      <c r="Z6" s="191">
        <v>0.19511562812000002</v>
      </c>
      <c r="AA6" s="191">
        <v>0.19949146223999994</v>
      </c>
      <c r="AB6" s="191">
        <v>0.10750694696</v>
      </c>
      <c r="AC6" s="191">
        <v>0.10022592047999999</v>
      </c>
      <c r="AD6" s="191">
        <v>9.3472376199999985E-2</v>
      </c>
      <c r="AE6" s="191">
        <v>0.11348397032</v>
      </c>
      <c r="AF6" s="191">
        <v>0.11805347315999998</v>
      </c>
      <c r="AG6" s="191">
        <v>0.10224185411999998</v>
      </c>
      <c r="AH6" s="191">
        <v>0</v>
      </c>
      <c r="AI6" s="191">
        <v>0</v>
      </c>
      <c r="AJ6" s="191">
        <v>0</v>
      </c>
      <c r="AK6" s="191">
        <v>0</v>
      </c>
      <c r="AL6" s="191">
        <v>0</v>
      </c>
    </row>
    <row r="7" spans="1:52">
      <c r="B7" s="27" t="s">
        <v>25</v>
      </c>
      <c r="C7" s="192">
        <f t="shared" ref="C7:L7" si="4">SUM(C8:C9)</f>
        <v>7.4345396229999999E-2</v>
      </c>
      <c r="D7" s="192">
        <f t="shared" si="4"/>
        <v>7.3710079449999993E-2</v>
      </c>
      <c r="E7" s="192">
        <f t="shared" si="4"/>
        <v>7.6497522799999995E-2</v>
      </c>
      <c r="F7" s="192">
        <f t="shared" si="4"/>
        <v>6.4537138669999994E-2</v>
      </c>
      <c r="G7" s="192">
        <f t="shared" si="4"/>
        <v>6.2880050270000001E-2</v>
      </c>
      <c r="H7" s="192">
        <f t="shared" si="4"/>
        <v>6.3318322449999992E-2</v>
      </c>
      <c r="I7" s="192">
        <f t="shared" si="4"/>
        <v>6.6679938549999984E-2</v>
      </c>
      <c r="J7" s="192">
        <f t="shared" si="4"/>
        <v>6.2247554069999989E-2</v>
      </c>
      <c r="K7" s="192">
        <f t="shared" si="4"/>
        <v>5.3326264839999998E-2</v>
      </c>
      <c r="L7" s="192">
        <f t="shared" si="4"/>
        <v>5.4969790469999988E-2</v>
      </c>
      <c r="M7" s="192">
        <f t="shared" ref="M7:R7" si="5">SUM(M8:M9)</f>
        <v>5.8864539389999998E-2</v>
      </c>
      <c r="N7" s="192">
        <f t="shared" si="5"/>
        <v>6.4640160660000001E-2</v>
      </c>
      <c r="O7" s="192">
        <f t="shared" si="5"/>
        <v>6.6709974219999996E-2</v>
      </c>
      <c r="P7" s="192">
        <f t="shared" si="5"/>
        <v>6.9613002719999997E-2</v>
      </c>
      <c r="Q7" s="192">
        <f t="shared" si="5"/>
        <v>6.6233218619999992E-2</v>
      </c>
      <c r="R7" s="192">
        <f t="shared" si="5"/>
        <v>4.7661951680000002E-2</v>
      </c>
      <c r="S7" s="192">
        <f t="shared" ref="S7:AG7" si="6">SUM(S8:S9)</f>
        <v>4.6373816439999993E-2</v>
      </c>
      <c r="T7" s="192">
        <f t="shared" si="6"/>
        <v>4.7275939190000005E-2</v>
      </c>
      <c r="U7" s="192">
        <f t="shared" si="6"/>
        <v>5.3264935989999991E-2</v>
      </c>
      <c r="V7" s="192">
        <f t="shared" si="6"/>
        <v>6.1432030049999996E-2</v>
      </c>
      <c r="W7" s="192">
        <f t="shared" si="6"/>
        <v>5.5604029749999992E-2</v>
      </c>
      <c r="X7" s="192">
        <f t="shared" si="6"/>
        <v>5.7388422090000002E-2</v>
      </c>
      <c r="Y7" s="192">
        <f t="shared" si="6"/>
        <v>5.0565783310000001E-2</v>
      </c>
      <c r="Z7" s="192">
        <f t="shared" si="6"/>
        <v>6.137885098999999E-2</v>
      </c>
      <c r="AA7" s="192">
        <f t="shared" si="6"/>
        <v>6.4204633509999998E-2</v>
      </c>
      <c r="AB7" s="192">
        <f t="shared" si="6"/>
        <v>5.3524393379999993E-2</v>
      </c>
      <c r="AC7" s="192">
        <f t="shared" si="6"/>
        <v>5.3729449390000003E-2</v>
      </c>
      <c r="AD7" s="192">
        <f t="shared" si="6"/>
        <v>5.3755778629999987E-2</v>
      </c>
      <c r="AE7" s="192">
        <f t="shared" si="6"/>
        <v>5.825910736E-2</v>
      </c>
      <c r="AF7" s="192">
        <f t="shared" si="6"/>
        <v>5.9862085889999986E-2</v>
      </c>
      <c r="AG7" s="192">
        <f t="shared" si="6"/>
        <v>5.4649872459999999E-2</v>
      </c>
      <c r="AH7" s="192">
        <f t="shared" ref="AH7:AL7" si="7">SUM(AH8:AH9)</f>
        <v>0</v>
      </c>
      <c r="AI7" s="192">
        <f t="shared" si="7"/>
        <v>0</v>
      </c>
      <c r="AJ7" s="192">
        <f t="shared" si="7"/>
        <v>0</v>
      </c>
      <c r="AK7" s="192">
        <f t="shared" si="7"/>
        <v>0</v>
      </c>
      <c r="AL7" s="192">
        <f t="shared" si="7"/>
        <v>0</v>
      </c>
    </row>
    <row r="8" spans="1:52">
      <c r="B8" s="116" t="s">
        <v>66</v>
      </c>
      <c r="C8" s="191">
        <v>1.3003865349999999E-2</v>
      </c>
      <c r="D8" s="191">
        <v>1.2661692049999999E-2</v>
      </c>
      <c r="E8" s="191">
        <v>1.3204886399999997E-2</v>
      </c>
      <c r="F8" s="191">
        <v>1.1783593349999998E-2</v>
      </c>
      <c r="G8" s="191">
        <v>1.1613738950000001E-2</v>
      </c>
      <c r="H8" s="191">
        <v>1.1439162249999997E-2</v>
      </c>
      <c r="I8" s="191">
        <v>1.1884526549999998E-2</v>
      </c>
      <c r="J8" s="191">
        <v>1.2276048149999998E-2</v>
      </c>
      <c r="K8" s="191">
        <v>1.0332508999999998E-2</v>
      </c>
      <c r="L8" s="191">
        <v>1.0095225349999999E-2</v>
      </c>
      <c r="M8" s="191">
        <v>1.092963615E-2</v>
      </c>
      <c r="N8" s="191">
        <v>1.16379997E-2</v>
      </c>
      <c r="O8" s="191">
        <v>1.1588041899999998E-2</v>
      </c>
      <c r="P8" s="191">
        <v>1.2404840799999999E-2</v>
      </c>
      <c r="Q8" s="191">
        <v>1.1566714699999999E-2</v>
      </c>
      <c r="R8" s="191">
        <v>8.6960174000000005E-3</v>
      </c>
      <c r="S8" s="191">
        <v>8.5284738000000002E-3</v>
      </c>
      <c r="T8" s="191">
        <v>8.5807503499999993E-3</v>
      </c>
      <c r="U8" s="191">
        <v>1.019331775E-2</v>
      </c>
      <c r="V8" s="191">
        <v>1.0964621450000002E-2</v>
      </c>
      <c r="W8" s="191">
        <v>9.7529195500000009E-3</v>
      </c>
      <c r="X8" s="191">
        <v>9.8876084499999999E-3</v>
      </c>
      <c r="Y8" s="191">
        <v>8.7847049499999996E-3</v>
      </c>
      <c r="Z8" s="191">
        <v>1.0662198149999998E-2</v>
      </c>
      <c r="AA8" s="191">
        <v>1.0897083550000001E-2</v>
      </c>
      <c r="AB8" s="191">
        <v>1.0462438499999999E-2</v>
      </c>
      <c r="AC8" s="191">
        <v>1.0496021950000002E-2</v>
      </c>
      <c r="AD8" s="191">
        <v>1.0602127949999998E-2</v>
      </c>
      <c r="AE8" s="191">
        <v>1.1285332399999999E-2</v>
      </c>
      <c r="AF8" s="191">
        <v>1.1532060649999997E-2</v>
      </c>
      <c r="AG8" s="191">
        <v>1.0681614700000001E-2</v>
      </c>
      <c r="AH8" s="191">
        <v>0</v>
      </c>
      <c r="AI8" s="191">
        <v>0</v>
      </c>
      <c r="AJ8" s="191">
        <v>0</v>
      </c>
      <c r="AK8" s="191">
        <v>0</v>
      </c>
      <c r="AL8" s="191">
        <v>0</v>
      </c>
    </row>
    <row r="9" spans="1:52">
      <c r="B9" s="116" t="s">
        <v>67</v>
      </c>
      <c r="C9" s="191">
        <v>6.1341530879999995E-2</v>
      </c>
      <c r="D9" s="191">
        <v>6.1048387399999987E-2</v>
      </c>
      <c r="E9" s="191">
        <v>6.3292636399999991E-2</v>
      </c>
      <c r="F9" s="191">
        <v>5.2753545319999991E-2</v>
      </c>
      <c r="G9" s="191">
        <v>5.1266311320000001E-2</v>
      </c>
      <c r="H9" s="191">
        <v>5.1879160199999996E-2</v>
      </c>
      <c r="I9" s="191">
        <v>5.4795411999999988E-2</v>
      </c>
      <c r="J9" s="191">
        <v>4.9971505919999992E-2</v>
      </c>
      <c r="K9" s="191">
        <v>4.2993755840000002E-2</v>
      </c>
      <c r="L9" s="191">
        <v>4.4874565119999987E-2</v>
      </c>
      <c r="M9" s="191">
        <v>4.793490324E-2</v>
      </c>
      <c r="N9" s="191">
        <v>5.3002160959999996E-2</v>
      </c>
      <c r="O9" s="191">
        <v>5.512193231999999E-2</v>
      </c>
      <c r="P9" s="191">
        <v>5.720816192E-2</v>
      </c>
      <c r="Q9" s="191">
        <v>5.4666503919999998E-2</v>
      </c>
      <c r="R9" s="191">
        <v>3.8965934280000003E-2</v>
      </c>
      <c r="S9" s="191">
        <v>3.7845342639999995E-2</v>
      </c>
      <c r="T9" s="191">
        <v>3.8695188840000005E-2</v>
      </c>
      <c r="U9" s="191">
        <v>4.3071618239999991E-2</v>
      </c>
      <c r="V9" s="191">
        <v>5.0467408599999992E-2</v>
      </c>
      <c r="W9" s="191">
        <v>4.5851110199999989E-2</v>
      </c>
      <c r="X9" s="191">
        <v>4.750081364E-2</v>
      </c>
      <c r="Y9" s="191">
        <v>4.1781078360000001E-2</v>
      </c>
      <c r="Z9" s="191">
        <v>5.0716652839999994E-2</v>
      </c>
      <c r="AA9" s="191">
        <v>5.3307549959999999E-2</v>
      </c>
      <c r="AB9" s="191">
        <v>4.3061954879999996E-2</v>
      </c>
      <c r="AC9" s="191">
        <v>4.323342744E-2</v>
      </c>
      <c r="AD9" s="191">
        <v>4.3153650679999989E-2</v>
      </c>
      <c r="AE9" s="191">
        <v>4.6973774959999999E-2</v>
      </c>
      <c r="AF9" s="191">
        <v>4.8330025239999991E-2</v>
      </c>
      <c r="AG9" s="191">
        <v>4.3968257759999997E-2</v>
      </c>
      <c r="AH9" s="191">
        <v>0</v>
      </c>
      <c r="AI9" s="191">
        <v>0</v>
      </c>
      <c r="AJ9" s="191">
        <v>0</v>
      </c>
      <c r="AK9" s="191">
        <v>0</v>
      </c>
      <c r="AL9" s="191">
        <v>0</v>
      </c>
    </row>
    <row r="10" spans="1:52">
      <c r="B10" s="29" t="s">
        <v>26</v>
      </c>
      <c r="C10" s="193">
        <f t="shared" ref="C10:L10" si="8">SUM(C11:C12)</f>
        <v>0.1861315179452</v>
      </c>
      <c r="D10" s="193">
        <f t="shared" si="8"/>
        <v>0.18664675818133997</v>
      </c>
      <c r="E10" s="193">
        <f t="shared" si="8"/>
        <v>0.18363510595664001</v>
      </c>
      <c r="F10" s="193">
        <f t="shared" si="8"/>
        <v>0.18360350642239998</v>
      </c>
      <c r="G10" s="193">
        <f t="shared" si="8"/>
        <v>0.19146488861453997</v>
      </c>
      <c r="H10" s="193">
        <f t="shared" si="8"/>
        <v>0.1899256998128</v>
      </c>
      <c r="I10" s="193">
        <f t="shared" si="8"/>
        <v>0.19883086153632001</v>
      </c>
      <c r="J10" s="193">
        <f t="shared" si="8"/>
        <v>0.20398257730209995</v>
      </c>
      <c r="K10" s="193">
        <f t="shared" si="8"/>
        <v>0.19443102520247998</v>
      </c>
      <c r="L10" s="193">
        <f t="shared" si="8"/>
        <v>0.19614900229235999</v>
      </c>
      <c r="M10" s="193">
        <f t="shared" ref="M10:R10" si="9">SUM(M11:M12)</f>
        <v>0.18046542900939996</v>
      </c>
      <c r="N10" s="193">
        <f t="shared" si="9"/>
        <v>0.16282728764439999</v>
      </c>
      <c r="O10" s="193">
        <f t="shared" si="9"/>
        <v>0.15384341515031999</v>
      </c>
      <c r="P10" s="193">
        <f t="shared" si="9"/>
        <v>0.15282242969319998</v>
      </c>
      <c r="Q10" s="193">
        <f t="shared" si="9"/>
        <v>0.15094042336023997</v>
      </c>
      <c r="R10" s="193">
        <f t="shared" si="9"/>
        <v>0.15465358768649995</v>
      </c>
      <c r="S10" s="193">
        <f t="shared" ref="S10:AG10" si="10">SUM(S11:S12)</f>
        <v>0.15486582637351998</v>
      </c>
      <c r="T10" s="193">
        <f t="shared" si="10"/>
        <v>0.15558568494009994</v>
      </c>
      <c r="U10" s="193">
        <f t="shared" si="10"/>
        <v>0.15193573566739998</v>
      </c>
      <c r="V10" s="193">
        <f t="shared" si="10"/>
        <v>0.12519608361439996</v>
      </c>
      <c r="W10" s="193">
        <f t="shared" si="10"/>
        <v>0.14765990798383999</v>
      </c>
      <c r="X10" s="193">
        <f t="shared" si="10"/>
        <v>0.15206568050134001</v>
      </c>
      <c r="Y10" s="193">
        <f t="shared" si="10"/>
        <v>0.15292643398133995</v>
      </c>
      <c r="Z10" s="193">
        <f t="shared" si="10"/>
        <v>0.15405435578999993</v>
      </c>
      <c r="AA10" s="193">
        <f t="shared" si="10"/>
        <v>0.15603253034105996</v>
      </c>
      <c r="AB10" s="193">
        <f t="shared" si="10"/>
        <v>0.13912066600626</v>
      </c>
      <c r="AC10" s="193">
        <f t="shared" si="10"/>
        <v>0.13551434292028</v>
      </c>
      <c r="AD10" s="193">
        <f t="shared" si="10"/>
        <v>0.13727499355251996</v>
      </c>
      <c r="AE10" s="193">
        <f t="shared" si="10"/>
        <v>0.13614867559999999</v>
      </c>
      <c r="AF10" s="193">
        <f t="shared" si="10"/>
        <v>0.13799787064999997</v>
      </c>
      <c r="AG10" s="193">
        <f t="shared" si="10"/>
        <v>0.13561359160999997</v>
      </c>
      <c r="AH10" s="193">
        <f t="shared" ref="AH10:AL10" si="11">SUM(AH11:AH12)</f>
        <v>0</v>
      </c>
      <c r="AI10" s="193">
        <f t="shared" si="11"/>
        <v>0</v>
      </c>
      <c r="AJ10" s="193">
        <f t="shared" si="11"/>
        <v>0</v>
      </c>
      <c r="AK10" s="193">
        <f t="shared" si="11"/>
        <v>0</v>
      </c>
      <c r="AL10" s="193">
        <f t="shared" si="11"/>
        <v>0</v>
      </c>
    </row>
    <row r="11" spans="1:52">
      <c r="B11" s="116" t="s">
        <v>66</v>
      </c>
      <c r="C11" s="191">
        <v>0.11211806294999999</v>
      </c>
      <c r="D11" s="191">
        <v>0.11185459822749999</v>
      </c>
      <c r="E11" s="191">
        <v>0.11045757453999999</v>
      </c>
      <c r="F11" s="191">
        <v>0.11037423839999999</v>
      </c>
      <c r="G11" s="191">
        <v>0.11546288857749998</v>
      </c>
      <c r="H11" s="191">
        <v>0.11437225099999999</v>
      </c>
      <c r="I11" s="191">
        <v>0.11983048991999999</v>
      </c>
      <c r="J11" s="191">
        <v>0.12276996916249999</v>
      </c>
      <c r="K11" s="191">
        <v>0.11706822902999998</v>
      </c>
      <c r="L11" s="191">
        <v>0.11833692898499999</v>
      </c>
      <c r="M11" s="191">
        <v>0.10866485457499998</v>
      </c>
      <c r="N11" s="191">
        <v>9.834435934999998E-2</v>
      </c>
      <c r="O11" s="191">
        <v>9.3194669469999991E-2</v>
      </c>
      <c r="P11" s="191">
        <v>9.2622463449999984E-2</v>
      </c>
      <c r="Q11" s="191">
        <v>9.1646106989999976E-2</v>
      </c>
      <c r="R11" s="191">
        <v>9.4144343212499981E-2</v>
      </c>
      <c r="S11" s="191">
        <v>9.4199321569999994E-2</v>
      </c>
      <c r="T11" s="191">
        <v>9.4379138512499974E-2</v>
      </c>
      <c r="U11" s="191">
        <v>9.2110688824999967E-2</v>
      </c>
      <c r="V11" s="191">
        <v>7.5931637199999985E-2</v>
      </c>
      <c r="W11" s="191">
        <v>8.8903746539999995E-2</v>
      </c>
      <c r="X11" s="191">
        <v>9.1498559627500017E-2</v>
      </c>
      <c r="Y11" s="191">
        <v>9.1985343427499977E-2</v>
      </c>
      <c r="Z11" s="191">
        <v>9.2652774149999964E-2</v>
      </c>
      <c r="AA11" s="191">
        <v>9.3981560072499984E-2</v>
      </c>
      <c r="AB11" s="191">
        <v>8.4214600822499999E-2</v>
      </c>
      <c r="AC11" s="191">
        <v>8.2251099354999996E-2</v>
      </c>
      <c r="AD11" s="191">
        <v>8.3186148144999972E-2</v>
      </c>
      <c r="AE11" s="191">
        <v>8.2492814599999992E-2</v>
      </c>
      <c r="AF11" s="191">
        <v>8.3663650849999979E-2</v>
      </c>
      <c r="AG11" s="191">
        <v>8.2267153849999983E-2</v>
      </c>
      <c r="AH11" s="191">
        <v>0</v>
      </c>
      <c r="AI11" s="191">
        <v>0</v>
      </c>
      <c r="AJ11" s="191">
        <v>0</v>
      </c>
      <c r="AK11" s="191">
        <v>0</v>
      </c>
      <c r="AL11" s="191">
        <v>0</v>
      </c>
    </row>
    <row r="12" spans="1:52">
      <c r="B12" s="116" t="s">
        <v>67</v>
      </c>
      <c r="C12" s="191">
        <v>7.4013454995199998E-2</v>
      </c>
      <c r="D12" s="191">
        <v>7.4792159953839976E-2</v>
      </c>
      <c r="E12" s="191">
        <v>7.3177531416640004E-2</v>
      </c>
      <c r="F12" s="191">
        <v>7.3229268022399999E-2</v>
      </c>
      <c r="G12" s="191">
        <v>7.6002000037039996E-2</v>
      </c>
      <c r="H12" s="191">
        <v>7.5553448812800003E-2</v>
      </c>
      <c r="I12" s="191">
        <v>7.9000371616320009E-2</v>
      </c>
      <c r="J12" s="191">
        <v>8.1212608139599976E-2</v>
      </c>
      <c r="K12" s="191">
        <v>7.736279617248E-2</v>
      </c>
      <c r="L12" s="191">
        <v>7.7812073307359994E-2</v>
      </c>
      <c r="M12" s="191">
        <v>7.180057443439998E-2</v>
      </c>
      <c r="N12" s="191">
        <v>6.4482928294400013E-2</v>
      </c>
      <c r="O12" s="191">
        <v>6.0648745680319999E-2</v>
      </c>
      <c r="P12" s="191">
        <v>6.0199966243199989E-2</v>
      </c>
      <c r="Q12" s="191">
        <v>5.9294316370239998E-2</v>
      </c>
      <c r="R12" s="191">
        <v>6.0509244473999975E-2</v>
      </c>
      <c r="S12" s="191">
        <v>6.066650480351999E-2</v>
      </c>
      <c r="T12" s="191">
        <v>6.1206546427599984E-2</v>
      </c>
      <c r="U12" s="191">
        <v>5.9825046842400004E-2</v>
      </c>
      <c r="V12" s="191">
        <v>4.9264446414399983E-2</v>
      </c>
      <c r="W12" s="191">
        <v>5.8756161443839994E-2</v>
      </c>
      <c r="X12" s="191">
        <v>6.0567120873839995E-2</v>
      </c>
      <c r="Y12" s="191">
        <v>6.0941090553839984E-2</v>
      </c>
      <c r="Z12" s="191">
        <v>6.140158163999998E-2</v>
      </c>
      <c r="AA12" s="191">
        <v>6.2050970268559991E-2</v>
      </c>
      <c r="AB12" s="191">
        <v>5.4906065183760004E-2</v>
      </c>
      <c r="AC12" s="191">
        <v>5.3263243565280005E-2</v>
      </c>
      <c r="AD12" s="191">
        <v>5.4088845407519993E-2</v>
      </c>
      <c r="AE12" s="191">
        <v>5.3655860999999999E-2</v>
      </c>
      <c r="AF12" s="191">
        <v>5.43342198E-2</v>
      </c>
      <c r="AG12" s="191">
        <v>5.3346437759999997E-2</v>
      </c>
      <c r="AH12" s="24">
        <v>0</v>
      </c>
      <c r="AI12" s="24">
        <v>0</v>
      </c>
      <c r="AJ12" s="24">
        <v>0</v>
      </c>
      <c r="AK12" s="24">
        <v>0</v>
      </c>
      <c r="AL12" s="24">
        <v>0</v>
      </c>
    </row>
    <row r="13" spans="1:52">
      <c r="B13" s="33" t="s">
        <v>28</v>
      </c>
      <c r="C13" s="194">
        <f t="shared" ref="C13:L13" si="12">SUM(C14:C15)</f>
        <v>0.25528461371</v>
      </c>
      <c r="D13" s="194">
        <f t="shared" si="12"/>
        <v>0.25842648350999997</v>
      </c>
      <c r="E13" s="194">
        <f t="shared" si="12"/>
        <v>0.23586490030999996</v>
      </c>
      <c r="F13" s="194">
        <f t="shared" si="12"/>
        <v>0.28412263485999995</v>
      </c>
      <c r="G13" s="194">
        <f t="shared" si="12"/>
        <v>0.29090035800999997</v>
      </c>
      <c r="H13" s="194">
        <f t="shared" si="12"/>
        <v>0.29297888760000002</v>
      </c>
      <c r="I13" s="194">
        <f t="shared" si="12"/>
        <v>0.32997830846000004</v>
      </c>
      <c r="J13" s="194">
        <f t="shared" si="12"/>
        <v>0.34982392758000008</v>
      </c>
      <c r="K13" s="194">
        <f t="shared" si="12"/>
        <v>0.34215745901</v>
      </c>
      <c r="L13" s="194">
        <f t="shared" si="12"/>
        <v>0.34712405785999995</v>
      </c>
      <c r="M13" s="194">
        <f t="shared" ref="M13:R13" si="13">SUM(M14:M15)</f>
        <v>0.37656537963000003</v>
      </c>
      <c r="N13" s="194">
        <f t="shared" si="13"/>
        <v>0.37590702771000001</v>
      </c>
      <c r="O13" s="194">
        <f t="shared" si="13"/>
        <v>0.38186917062999998</v>
      </c>
      <c r="P13" s="194">
        <f t="shared" si="13"/>
        <v>0.39045822028999988</v>
      </c>
      <c r="Q13" s="194">
        <f t="shared" si="13"/>
        <v>0.41667104820999995</v>
      </c>
      <c r="R13" s="194">
        <f t="shared" si="13"/>
        <v>0.40888970324000001</v>
      </c>
      <c r="S13" s="194">
        <f t="shared" ref="S13:AG13" si="14">SUM(S14:S15)</f>
        <v>0.40560726095999994</v>
      </c>
      <c r="T13" s="194">
        <f t="shared" si="14"/>
        <v>0.42412208032999998</v>
      </c>
      <c r="U13" s="194">
        <f t="shared" si="14"/>
        <v>0.42902330175000003</v>
      </c>
      <c r="V13" s="194">
        <f t="shared" si="14"/>
        <v>0.40077515660999991</v>
      </c>
      <c r="W13" s="194">
        <f t="shared" si="14"/>
        <v>0.41500638615999996</v>
      </c>
      <c r="X13" s="194">
        <f t="shared" si="14"/>
        <v>0.40189843308000001</v>
      </c>
      <c r="Y13" s="194">
        <f t="shared" si="14"/>
        <v>0.36761586085999992</v>
      </c>
      <c r="Z13" s="194">
        <f t="shared" si="14"/>
        <v>0.39114261188000005</v>
      </c>
      <c r="AA13" s="194">
        <f t="shared" si="14"/>
        <v>0.38770532772999994</v>
      </c>
      <c r="AB13" s="194">
        <f t="shared" si="14"/>
        <v>0.32849218814999998</v>
      </c>
      <c r="AC13" s="194">
        <f t="shared" si="14"/>
        <v>0.27142412268000005</v>
      </c>
      <c r="AD13" s="194">
        <f t="shared" si="14"/>
        <v>0.26304078079999998</v>
      </c>
      <c r="AE13" s="194">
        <f t="shared" si="14"/>
        <v>0.27197667750000004</v>
      </c>
      <c r="AF13" s="194">
        <f t="shared" si="14"/>
        <v>0.22622378897999995</v>
      </c>
      <c r="AG13" s="194">
        <f t="shared" si="14"/>
        <v>0.14492831354999997</v>
      </c>
      <c r="AH13" s="194">
        <f t="shared" ref="AH13:AL13" si="15">SUM(AH14:AH15)</f>
        <v>0</v>
      </c>
      <c r="AI13" s="194">
        <f t="shared" si="15"/>
        <v>0</v>
      </c>
      <c r="AJ13" s="194">
        <f t="shared" si="15"/>
        <v>0</v>
      </c>
      <c r="AK13" s="194">
        <f t="shared" si="15"/>
        <v>0</v>
      </c>
      <c r="AL13" s="194">
        <f t="shared" si="15"/>
        <v>0</v>
      </c>
    </row>
    <row r="14" spans="1:52">
      <c r="B14" s="116" t="s">
        <v>66</v>
      </c>
      <c r="C14" s="191">
        <v>0.23737479674999998</v>
      </c>
      <c r="D14" s="191">
        <v>0.23982097994999996</v>
      </c>
      <c r="E14" s="191">
        <v>0.21915664034999996</v>
      </c>
      <c r="F14" s="191">
        <v>0.26414747909999997</v>
      </c>
      <c r="G14" s="191">
        <v>0.26983189604999996</v>
      </c>
      <c r="H14" s="191">
        <v>0.27195709800000001</v>
      </c>
      <c r="I14" s="191">
        <v>0.30682502950000001</v>
      </c>
      <c r="J14" s="191">
        <v>0.32526683530000006</v>
      </c>
      <c r="K14" s="191">
        <v>0.31760230125</v>
      </c>
      <c r="L14" s="191">
        <v>0.32266663409999996</v>
      </c>
      <c r="M14" s="191">
        <v>0.35017982715000001</v>
      </c>
      <c r="N14" s="191">
        <v>0.34879398314999999</v>
      </c>
      <c r="O14" s="191">
        <v>0.35462546714999998</v>
      </c>
      <c r="P14" s="191">
        <v>0.36305738024999989</v>
      </c>
      <c r="Q14" s="191">
        <v>0.38788399004999996</v>
      </c>
      <c r="R14" s="191">
        <v>0.38032644180000003</v>
      </c>
      <c r="S14" s="191">
        <v>0.37778606699999995</v>
      </c>
      <c r="T14" s="191">
        <v>0.39461519145000001</v>
      </c>
      <c r="U14" s="191">
        <v>0.39986341575000001</v>
      </c>
      <c r="V14" s="191">
        <v>0.3735240958499999</v>
      </c>
      <c r="W14" s="191">
        <v>0.38653192559999999</v>
      </c>
      <c r="X14" s="191">
        <v>0.37426192740000003</v>
      </c>
      <c r="Y14" s="191">
        <v>0.3412682984999999</v>
      </c>
      <c r="Z14" s="191">
        <v>0.36411642360000007</v>
      </c>
      <c r="AA14" s="191">
        <v>0.36112203224999995</v>
      </c>
      <c r="AB14" s="191">
        <v>0.30484285335</v>
      </c>
      <c r="AC14" s="191">
        <v>0.25004556240000003</v>
      </c>
      <c r="AD14" s="191">
        <v>0.24230477459999999</v>
      </c>
      <c r="AE14" s="191">
        <v>0.25071261510000004</v>
      </c>
      <c r="AF14" s="191">
        <v>0.20719084889999995</v>
      </c>
      <c r="AG14" s="191">
        <v>0.12977822474999998</v>
      </c>
      <c r="AH14" s="191">
        <v>0</v>
      </c>
      <c r="AI14" s="191">
        <v>0</v>
      </c>
      <c r="AJ14" s="191">
        <v>0</v>
      </c>
      <c r="AK14" s="191">
        <v>0</v>
      </c>
      <c r="AL14" s="191">
        <v>0</v>
      </c>
    </row>
    <row r="15" spans="1:52" ht="16" thickBot="1">
      <c r="B15" s="117" t="s">
        <v>67</v>
      </c>
      <c r="C15" s="195">
        <v>1.7909816959999995E-2</v>
      </c>
      <c r="D15" s="195">
        <v>1.8605503559999997E-2</v>
      </c>
      <c r="E15" s="195">
        <v>1.6708259959999999E-2</v>
      </c>
      <c r="F15" s="195">
        <v>1.9975155759999998E-2</v>
      </c>
      <c r="G15" s="195">
        <v>2.1068461959999996E-2</v>
      </c>
      <c r="H15" s="195">
        <v>2.1021789599999997E-2</v>
      </c>
      <c r="I15" s="195">
        <v>2.3153278960000006E-2</v>
      </c>
      <c r="J15" s="195">
        <v>2.4557092280000001E-2</v>
      </c>
      <c r="K15" s="195">
        <v>2.4555157760000001E-2</v>
      </c>
      <c r="L15" s="195">
        <v>2.4457423759999999E-2</v>
      </c>
      <c r="M15" s="195">
        <v>2.6385552480000001E-2</v>
      </c>
      <c r="N15" s="195">
        <v>2.7113044559999997E-2</v>
      </c>
      <c r="O15" s="195">
        <v>2.7243703479999996E-2</v>
      </c>
      <c r="P15" s="195">
        <v>2.7400840039999999E-2</v>
      </c>
      <c r="Q15" s="195">
        <v>2.878705816E-2</v>
      </c>
      <c r="R15" s="195">
        <v>2.8563261439999998E-2</v>
      </c>
      <c r="S15" s="195">
        <v>2.7821193960000001E-2</v>
      </c>
      <c r="T15" s="195">
        <v>2.9506888879999998E-2</v>
      </c>
      <c r="U15" s="195">
        <v>2.9159885999999996E-2</v>
      </c>
      <c r="V15" s="195">
        <v>2.7251060760000001E-2</v>
      </c>
      <c r="W15" s="195">
        <v>2.8474460559999994E-2</v>
      </c>
      <c r="X15" s="195">
        <v>2.7636505680000003E-2</v>
      </c>
      <c r="Y15" s="195">
        <v>2.6347562360000003E-2</v>
      </c>
      <c r="Z15" s="195">
        <v>2.7026188279999992E-2</v>
      </c>
      <c r="AA15" s="195">
        <v>2.6583295480000001E-2</v>
      </c>
      <c r="AB15" s="195">
        <v>2.3649334799999994E-2</v>
      </c>
      <c r="AC15" s="195">
        <v>2.137856028E-2</v>
      </c>
      <c r="AD15" s="195">
        <v>2.07360062E-2</v>
      </c>
      <c r="AE15" s="195">
        <v>2.1264062400000002E-2</v>
      </c>
      <c r="AF15" s="195">
        <v>1.9032940080000001E-2</v>
      </c>
      <c r="AG15" s="195">
        <v>1.5150088800000001E-2</v>
      </c>
      <c r="AH15" s="195">
        <v>0</v>
      </c>
      <c r="AI15" s="195">
        <v>0</v>
      </c>
      <c r="AJ15" s="195">
        <v>0</v>
      </c>
      <c r="AK15" s="195">
        <v>0</v>
      </c>
      <c r="AL15" s="195">
        <v>0</v>
      </c>
    </row>
    <row r="16" spans="1:52">
      <c r="B16" s="116" t="s">
        <v>66</v>
      </c>
      <c r="C16" s="196">
        <f>SUMIF($B$5:$B$15,$B$16,C5:C15)+C18</f>
        <v>0.40948338214999996</v>
      </c>
      <c r="D16" s="196">
        <f t="shared" ref="D16:AG16" si="16">SUMIF($B$5:$B$15,$B$16,D5:D15)+D18</f>
        <v>0.41362034577749995</v>
      </c>
      <c r="E16" s="196">
        <f t="shared" si="16"/>
        <v>0.39366119833999991</v>
      </c>
      <c r="F16" s="196">
        <f t="shared" si="16"/>
        <v>0.42019620589999995</v>
      </c>
      <c r="G16" s="196">
        <f t="shared" si="16"/>
        <v>0.42918212097749997</v>
      </c>
      <c r="H16" s="196">
        <f t="shared" si="16"/>
        <v>0.43070203019999997</v>
      </c>
      <c r="I16" s="196">
        <f t="shared" si="16"/>
        <v>0.47381429136999997</v>
      </c>
      <c r="J16" s="196">
        <f t="shared" si="16"/>
        <v>0.48837756896250006</v>
      </c>
      <c r="K16" s="196">
        <f t="shared" si="16"/>
        <v>0.46883539822999998</v>
      </c>
      <c r="L16" s="196">
        <f t="shared" si="16"/>
        <v>0.47770695878499997</v>
      </c>
      <c r="M16" s="196">
        <f t="shared" si="16"/>
        <v>0.49665552302499999</v>
      </c>
      <c r="N16" s="196">
        <f t="shared" si="16"/>
        <v>0.48790511039999995</v>
      </c>
      <c r="O16" s="196">
        <f t="shared" si="16"/>
        <v>0.49023401996999999</v>
      </c>
      <c r="P16" s="196">
        <f t="shared" si="16"/>
        <v>0.49964282429999984</v>
      </c>
      <c r="Q16" s="196">
        <f t="shared" si="16"/>
        <v>0.52212145088999995</v>
      </c>
      <c r="R16" s="196">
        <f t="shared" si="16"/>
        <v>0.50319261126250003</v>
      </c>
      <c r="S16" s="196">
        <f t="shared" si="16"/>
        <v>0.49901435771999991</v>
      </c>
      <c r="T16" s="196">
        <f t="shared" si="16"/>
        <v>0.51788745221249999</v>
      </c>
      <c r="U16" s="196">
        <f t="shared" si="16"/>
        <v>0.52502344442499993</v>
      </c>
      <c r="V16" s="196">
        <f t="shared" si="16"/>
        <v>0.48927317554999988</v>
      </c>
      <c r="W16" s="196">
        <f t="shared" si="16"/>
        <v>0.51449703254000001</v>
      </c>
      <c r="X16" s="196">
        <f t="shared" si="16"/>
        <v>0.50407112627750006</v>
      </c>
      <c r="Y16" s="196">
        <f t="shared" si="16"/>
        <v>0.46599262702749988</v>
      </c>
      <c r="Z16" s="196">
        <f t="shared" si="16"/>
        <v>0.49851270795000002</v>
      </c>
      <c r="AA16" s="196">
        <f t="shared" si="16"/>
        <v>0.49730552072249989</v>
      </c>
      <c r="AB16" s="196">
        <f t="shared" si="16"/>
        <v>0.41844355857249999</v>
      </c>
      <c r="AC16" s="196">
        <f t="shared" si="16"/>
        <v>0.360590404355</v>
      </c>
      <c r="AD16" s="196">
        <f t="shared" si="16"/>
        <v>0.35293806719499998</v>
      </c>
      <c r="AE16" s="196">
        <f t="shared" si="16"/>
        <v>0.36482225109999999</v>
      </c>
      <c r="AF16" s="196">
        <f t="shared" si="16"/>
        <v>0.32397621109999991</v>
      </c>
      <c r="AG16" s="196">
        <f t="shared" si="16"/>
        <v>0.24188339014999996</v>
      </c>
      <c r="AH16" s="196">
        <f t="shared" ref="AH16:AL16" si="17">SUMIF($B$5:$B$15,$B$16,AH5:AH15)+AH18</f>
        <v>0</v>
      </c>
      <c r="AI16" s="196">
        <f t="shared" si="17"/>
        <v>0</v>
      </c>
      <c r="AJ16" s="196">
        <f t="shared" si="17"/>
        <v>0</v>
      </c>
      <c r="AK16" s="196">
        <f t="shared" si="17"/>
        <v>0</v>
      </c>
      <c r="AL16" s="196">
        <f t="shared" si="17"/>
        <v>0</v>
      </c>
    </row>
    <row r="17" spans="2:38" ht="16" thickBot="1">
      <c r="B17" s="117" t="s">
        <v>67</v>
      </c>
      <c r="C17" s="195">
        <f>SUMIF($B$5:$B$15,$B$17,C5:C15)+C19</f>
        <v>0.4858297572352</v>
      </c>
      <c r="D17" s="195">
        <f t="shared" ref="D17:AG17" si="18">SUMIF($B$5:$B$15,$B$17,D5:D15)+D19</f>
        <v>0.5017613591138399</v>
      </c>
      <c r="E17" s="195">
        <f t="shared" si="18"/>
        <v>0.51516781805664003</v>
      </c>
      <c r="F17" s="195">
        <f t="shared" si="18"/>
        <v>0.37238743278239994</v>
      </c>
      <c r="G17" s="195">
        <f t="shared" si="18"/>
        <v>0.36265880347703994</v>
      </c>
      <c r="H17" s="195">
        <f t="shared" si="18"/>
        <v>0.36478966713280003</v>
      </c>
      <c r="I17" s="195">
        <f t="shared" si="18"/>
        <v>0.38387711077632003</v>
      </c>
      <c r="J17" s="195">
        <f t="shared" si="18"/>
        <v>0.32892975837959998</v>
      </c>
      <c r="K17" s="195">
        <f t="shared" si="18"/>
        <v>0.29326403865247996</v>
      </c>
      <c r="L17" s="195">
        <f t="shared" si="18"/>
        <v>0.30461777718735994</v>
      </c>
      <c r="M17" s="195">
        <f t="shared" si="18"/>
        <v>0.31175911563440001</v>
      </c>
      <c r="N17" s="195">
        <f t="shared" si="18"/>
        <v>0.33611451761440003</v>
      </c>
      <c r="O17" s="195">
        <f t="shared" si="18"/>
        <v>0.34090591896032002</v>
      </c>
      <c r="P17" s="195">
        <f t="shared" si="18"/>
        <v>0.35292491316319996</v>
      </c>
      <c r="Q17" s="195">
        <f t="shared" si="18"/>
        <v>0.34795597413023999</v>
      </c>
      <c r="R17" s="195">
        <f t="shared" si="18"/>
        <v>0.24501282807399999</v>
      </c>
      <c r="S17" s="195">
        <f t="shared" si="18"/>
        <v>0.23265360372351995</v>
      </c>
      <c r="T17" s="195">
        <f t="shared" si="18"/>
        <v>0.24648345726759999</v>
      </c>
      <c r="U17" s="195">
        <f t="shared" si="18"/>
        <v>0.25834426844239999</v>
      </c>
      <c r="V17" s="195">
        <f t="shared" si="18"/>
        <v>0.30522027885439995</v>
      </c>
      <c r="W17" s="195">
        <f t="shared" si="18"/>
        <v>0.31605788780383987</v>
      </c>
      <c r="X17" s="195">
        <f t="shared" si="18"/>
        <v>0.31457311927383996</v>
      </c>
      <c r="Y17" s="195">
        <f t="shared" si="18"/>
        <v>0.27996131015383996</v>
      </c>
      <c r="Z17" s="195">
        <f t="shared" si="18"/>
        <v>0.33426005087999994</v>
      </c>
      <c r="AA17" s="195">
        <f t="shared" si="18"/>
        <v>0.34143327794855993</v>
      </c>
      <c r="AB17" s="195">
        <f t="shared" si="18"/>
        <v>0.22912430182376001</v>
      </c>
      <c r="AC17" s="195">
        <f t="shared" si="18"/>
        <v>0.21810115176528</v>
      </c>
      <c r="AD17" s="195">
        <f t="shared" si="18"/>
        <v>0.21145087848751995</v>
      </c>
      <c r="AE17" s="195">
        <f t="shared" si="18"/>
        <v>0.23537766868000001</v>
      </c>
      <c r="AF17" s="195">
        <f t="shared" si="18"/>
        <v>0.23975065827999997</v>
      </c>
      <c r="AG17" s="195">
        <f t="shared" si="18"/>
        <v>0.21470663843999996</v>
      </c>
      <c r="AH17" s="195">
        <f t="shared" ref="AH17:AL17" si="19">SUMIF($B$5:$B$15,$B$17,AH5:AH15)+AH19</f>
        <v>0</v>
      </c>
      <c r="AI17" s="195">
        <f t="shared" si="19"/>
        <v>0</v>
      </c>
      <c r="AJ17" s="195">
        <f t="shared" si="19"/>
        <v>0</v>
      </c>
      <c r="AK17" s="195">
        <f t="shared" si="19"/>
        <v>0</v>
      </c>
      <c r="AL17" s="195">
        <f t="shared" si="19"/>
        <v>0</v>
      </c>
    </row>
    <row r="18" spans="2:38" ht="16" thickBot="1">
      <c r="B18" s="114" t="s">
        <v>68</v>
      </c>
      <c r="C18" s="354"/>
      <c r="D18" s="354"/>
      <c r="E18" s="354"/>
      <c r="F18" s="354"/>
      <c r="G18" s="354"/>
      <c r="H18" s="354"/>
      <c r="I18" s="354"/>
      <c r="J18" s="354"/>
      <c r="K18" s="354"/>
      <c r="L18" s="354"/>
      <c r="M18" s="354"/>
      <c r="N18" s="354"/>
      <c r="O18" s="354"/>
      <c r="P18" s="354"/>
      <c r="Q18" s="354"/>
      <c r="R18" s="354"/>
      <c r="S18" s="354"/>
      <c r="T18" s="354"/>
      <c r="U18" s="354"/>
      <c r="V18" s="354"/>
      <c r="W18" s="354"/>
      <c r="X18" s="354"/>
      <c r="Y18" s="354"/>
      <c r="Z18" s="354"/>
      <c r="AA18" s="354"/>
      <c r="AB18" s="354"/>
      <c r="AC18" s="354"/>
      <c r="AD18" s="354"/>
      <c r="AE18" s="354"/>
      <c r="AF18" s="354"/>
      <c r="AG18" s="354"/>
      <c r="AH18" s="354"/>
      <c r="AI18" s="354"/>
      <c r="AJ18" s="354"/>
      <c r="AK18" s="354"/>
      <c r="AL18" s="354"/>
    </row>
    <row r="19" spans="2:38" ht="16" thickBot="1">
      <c r="B19" s="114" t="s">
        <v>69</v>
      </c>
      <c r="C19" s="354"/>
      <c r="D19" s="354"/>
      <c r="E19" s="354"/>
      <c r="F19" s="354"/>
      <c r="G19" s="354"/>
      <c r="H19" s="354"/>
      <c r="I19" s="354"/>
      <c r="J19" s="354"/>
      <c r="K19" s="354"/>
      <c r="L19" s="354"/>
      <c r="M19" s="354"/>
      <c r="N19" s="354"/>
      <c r="O19" s="354"/>
      <c r="P19" s="354"/>
      <c r="Q19" s="354"/>
      <c r="R19" s="354"/>
      <c r="S19" s="354"/>
      <c r="T19" s="354"/>
      <c r="U19" s="354"/>
      <c r="V19" s="354"/>
      <c r="W19" s="354"/>
      <c r="X19" s="354"/>
      <c r="Y19" s="354"/>
      <c r="Z19" s="354"/>
      <c r="AA19" s="354"/>
      <c r="AB19" s="354"/>
      <c r="AC19" s="354"/>
      <c r="AD19" s="354"/>
      <c r="AE19" s="354"/>
      <c r="AF19" s="354"/>
      <c r="AG19" s="354"/>
      <c r="AH19" s="354"/>
      <c r="AI19" s="354"/>
      <c r="AJ19" s="354"/>
      <c r="AK19" s="354"/>
      <c r="AL19" s="354"/>
    </row>
    <row r="20" spans="2:38" ht="16" thickBot="1">
      <c r="B20" s="114" t="s">
        <v>30</v>
      </c>
      <c r="C20" s="195">
        <f>SUM(C4,C7,C10,C13,C18,C19)</f>
        <v>0.89531313938519996</v>
      </c>
      <c r="D20" s="195">
        <f t="shared" ref="D20:AG20" si="20">SUM(D4,D7,D10,D13,D18,D19)</f>
        <v>0.91538170489133985</v>
      </c>
      <c r="E20" s="195">
        <f t="shared" si="20"/>
        <v>0.90882901639663993</v>
      </c>
      <c r="F20" s="195">
        <f t="shared" si="20"/>
        <v>0.79258363868239989</v>
      </c>
      <c r="G20" s="195">
        <f t="shared" si="20"/>
        <v>0.79184092445453991</v>
      </c>
      <c r="H20" s="195">
        <f t="shared" si="20"/>
        <v>0.79549169733280001</v>
      </c>
      <c r="I20" s="195">
        <f t="shared" si="20"/>
        <v>0.85769140214632</v>
      </c>
      <c r="J20" s="195">
        <f t="shared" si="20"/>
        <v>0.81730732734209999</v>
      </c>
      <c r="K20" s="195">
        <f t="shared" si="20"/>
        <v>0.76209943688247994</v>
      </c>
      <c r="L20" s="195">
        <f t="shared" si="20"/>
        <v>0.78232473597235996</v>
      </c>
      <c r="M20" s="195">
        <f t="shared" si="20"/>
        <v>0.8084146386594</v>
      </c>
      <c r="N20" s="195">
        <f t="shared" si="20"/>
        <v>0.8240196280144001</v>
      </c>
      <c r="O20" s="195">
        <f t="shared" si="20"/>
        <v>0.83113993893032001</v>
      </c>
      <c r="P20" s="195">
        <f t="shared" si="20"/>
        <v>0.8525677374631998</v>
      </c>
      <c r="Q20" s="195">
        <f t="shared" si="20"/>
        <v>0.87007742502023988</v>
      </c>
      <c r="R20" s="195">
        <f t="shared" si="20"/>
        <v>0.74820543933650008</v>
      </c>
      <c r="S20" s="195">
        <f t="shared" si="20"/>
        <v>0.73166796144351998</v>
      </c>
      <c r="T20" s="195">
        <f t="shared" si="20"/>
        <v>0.76437090948009989</v>
      </c>
      <c r="U20" s="195">
        <f t="shared" si="20"/>
        <v>0.78336771286739992</v>
      </c>
      <c r="V20" s="195">
        <f t="shared" si="20"/>
        <v>0.79449345440439978</v>
      </c>
      <c r="W20" s="195">
        <f t="shared" si="20"/>
        <v>0.83055492034383982</v>
      </c>
      <c r="X20" s="195">
        <f t="shared" si="20"/>
        <v>0.81864424555134008</v>
      </c>
      <c r="Y20" s="195">
        <f t="shared" si="20"/>
        <v>0.74595393718133984</v>
      </c>
      <c r="Z20" s="195">
        <f t="shared" si="20"/>
        <v>0.83277275883000001</v>
      </c>
      <c r="AA20" s="195">
        <f t="shared" si="20"/>
        <v>0.83873879867105983</v>
      </c>
      <c r="AB20" s="195">
        <f t="shared" si="20"/>
        <v>0.64756786039626002</v>
      </c>
      <c r="AC20" s="195">
        <f t="shared" si="20"/>
        <v>0.57869155612028</v>
      </c>
      <c r="AD20" s="195">
        <f t="shared" si="20"/>
        <v>0.56438894568251996</v>
      </c>
      <c r="AE20" s="195">
        <f t="shared" si="20"/>
        <v>0.60019991978000009</v>
      </c>
      <c r="AF20" s="195">
        <f t="shared" si="20"/>
        <v>0.56372686937999994</v>
      </c>
      <c r="AG20" s="195">
        <f t="shared" si="20"/>
        <v>0.45659002858999992</v>
      </c>
      <c r="AH20" s="195">
        <f t="shared" ref="AH20:AL20" si="21">SUM(AH4,AH7,AH10,AH13,AH18,AH19)</f>
        <v>0</v>
      </c>
      <c r="AI20" s="195">
        <f t="shared" si="21"/>
        <v>0</v>
      </c>
      <c r="AJ20" s="195">
        <f t="shared" si="21"/>
        <v>0</v>
      </c>
      <c r="AK20" s="195">
        <f t="shared" si="21"/>
        <v>0</v>
      </c>
      <c r="AL20" s="195">
        <f t="shared" si="21"/>
        <v>0</v>
      </c>
    </row>
    <row r="21" spans="2:38" s="322" customFormat="1">
      <c r="B21" s="322">
        <f>MAX(C21:AL21)</f>
        <v>2020</v>
      </c>
      <c r="C21" s="322">
        <f>1990</f>
        <v>1990</v>
      </c>
      <c r="D21" s="322">
        <f>IF(D20=0,0,D3)</f>
        <v>1991</v>
      </c>
      <c r="E21" s="322">
        <f t="shared" ref="E21:AL21" si="22">IF(E20=0,0,E3)</f>
        <v>1992</v>
      </c>
      <c r="F21" s="322">
        <f t="shared" si="22"/>
        <v>1993</v>
      </c>
      <c r="G21" s="322">
        <f t="shared" si="22"/>
        <v>1994</v>
      </c>
      <c r="H21" s="322">
        <f t="shared" si="22"/>
        <v>1995</v>
      </c>
      <c r="I21" s="322">
        <f t="shared" si="22"/>
        <v>1996</v>
      </c>
      <c r="J21" s="322">
        <f t="shared" si="22"/>
        <v>1997</v>
      </c>
      <c r="K21" s="322">
        <f t="shared" si="22"/>
        <v>1998</v>
      </c>
      <c r="L21" s="322">
        <f t="shared" si="22"/>
        <v>1999</v>
      </c>
      <c r="M21" s="322">
        <f t="shared" si="22"/>
        <v>2000</v>
      </c>
      <c r="N21" s="322">
        <f t="shared" si="22"/>
        <v>2001</v>
      </c>
      <c r="O21" s="322">
        <f t="shared" si="22"/>
        <v>2002</v>
      </c>
      <c r="P21" s="322">
        <f t="shared" si="22"/>
        <v>2003</v>
      </c>
      <c r="Q21" s="322">
        <f t="shared" si="22"/>
        <v>2004</v>
      </c>
      <c r="R21" s="322">
        <f t="shared" si="22"/>
        <v>2005</v>
      </c>
      <c r="S21" s="322">
        <f t="shared" si="22"/>
        <v>2006</v>
      </c>
      <c r="T21" s="322">
        <f t="shared" si="22"/>
        <v>2007</v>
      </c>
      <c r="U21" s="322">
        <f t="shared" si="22"/>
        <v>2008</v>
      </c>
      <c r="V21" s="322">
        <f t="shared" si="22"/>
        <v>2009</v>
      </c>
      <c r="W21" s="322">
        <f t="shared" si="22"/>
        <v>2010</v>
      </c>
      <c r="X21" s="322">
        <f t="shared" si="22"/>
        <v>2011</v>
      </c>
      <c r="Y21" s="322">
        <f t="shared" si="22"/>
        <v>2012</v>
      </c>
      <c r="Z21" s="322">
        <f t="shared" si="22"/>
        <v>2013</v>
      </c>
      <c r="AA21" s="322">
        <f t="shared" si="22"/>
        <v>2014</v>
      </c>
      <c r="AB21" s="322">
        <f t="shared" si="22"/>
        <v>2015</v>
      </c>
      <c r="AC21" s="322">
        <f t="shared" si="22"/>
        <v>2016</v>
      </c>
      <c r="AD21" s="322">
        <f t="shared" si="22"/>
        <v>2017</v>
      </c>
      <c r="AE21" s="322">
        <f t="shared" si="22"/>
        <v>2018</v>
      </c>
      <c r="AF21" s="322">
        <f t="shared" si="22"/>
        <v>2019</v>
      </c>
      <c r="AG21" s="322">
        <f t="shared" si="22"/>
        <v>2020</v>
      </c>
      <c r="AH21" s="322">
        <f t="shared" si="22"/>
        <v>0</v>
      </c>
      <c r="AI21" s="322">
        <f t="shared" si="22"/>
        <v>0</v>
      </c>
      <c r="AJ21" s="322">
        <f t="shared" si="22"/>
        <v>0</v>
      </c>
      <c r="AK21" s="322">
        <f t="shared" si="22"/>
        <v>0</v>
      </c>
      <c r="AL21" s="322">
        <f t="shared" si="22"/>
        <v>0</v>
      </c>
    </row>
    <row r="22" spans="2:38" s="322" customFormat="1">
      <c r="C22" s="322">
        <v>1</v>
      </c>
      <c r="D22" s="322">
        <f>IF(D3&lt;=$B21,C22+1,0)</f>
        <v>2</v>
      </c>
      <c r="E22" s="322">
        <f t="shared" ref="E22:AL22" si="23">IF(E3&lt;=$B21,D22+1,0)</f>
        <v>3</v>
      </c>
      <c r="F22" s="322">
        <f t="shared" si="23"/>
        <v>4</v>
      </c>
      <c r="G22" s="322">
        <f t="shared" si="23"/>
        <v>5</v>
      </c>
      <c r="H22" s="322">
        <f t="shared" si="23"/>
        <v>6</v>
      </c>
      <c r="I22" s="322">
        <f t="shared" si="23"/>
        <v>7</v>
      </c>
      <c r="J22" s="322">
        <f t="shared" si="23"/>
        <v>8</v>
      </c>
      <c r="K22" s="322">
        <f t="shared" si="23"/>
        <v>9</v>
      </c>
      <c r="L22" s="322">
        <f t="shared" si="23"/>
        <v>10</v>
      </c>
      <c r="M22" s="322">
        <f t="shared" si="23"/>
        <v>11</v>
      </c>
      <c r="N22" s="322">
        <f t="shared" si="23"/>
        <v>12</v>
      </c>
      <c r="O22" s="322">
        <f t="shared" si="23"/>
        <v>13</v>
      </c>
      <c r="P22" s="322">
        <f t="shared" si="23"/>
        <v>14</v>
      </c>
      <c r="Q22" s="322">
        <f t="shared" si="23"/>
        <v>15</v>
      </c>
      <c r="R22" s="322">
        <f t="shared" si="23"/>
        <v>16</v>
      </c>
      <c r="S22" s="322">
        <f t="shared" si="23"/>
        <v>17</v>
      </c>
      <c r="T22" s="322">
        <f t="shared" si="23"/>
        <v>18</v>
      </c>
      <c r="U22" s="322">
        <f t="shared" si="23"/>
        <v>19</v>
      </c>
      <c r="V22" s="322">
        <f t="shared" si="23"/>
        <v>20</v>
      </c>
      <c r="W22" s="322">
        <f t="shared" si="23"/>
        <v>21</v>
      </c>
      <c r="X22" s="322">
        <f t="shared" si="23"/>
        <v>22</v>
      </c>
      <c r="Y22" s="322">
        <f t="shared" si="23"/>
        <v>23</v>
      </c>
      <c r="Z22" s="322">
        <f t="shared" si="23"/>
        <v>24</v>
      </c>
      <c r="AA22" s="322">
        <f t="shared" si="23"/>
        <v>25</v>
      </c>
      <c r="AB22" s="322">
        <f t="shared" si="23"/>
        <v>26</v>
      </c>
      <c r="AC22" s="322">
        <f t="shared" si="23"/>
        <v>27</v>
      </c>
      <c r="AD22" s="322">
        <f t="shared" si="23"/>
        <v>28</v>
      </c>
      <c r="AE22" s="322">
        <f t="shared" si="23"/>
        <v>29</v>
      </c>
      <c r="AF22" s="322">
        <f t="shared" si="23"/>
        <v>30</v>
      </c>
      <c r="AG22" s="322">
        <f t="shared" si="23"/>
        <v>31</v>
      </c>
      <c r="AH22" s="322">
        <f t="shared" si="23"/>
        <v>0</v>
      </c>
      <c r="AI22" s="322">
        <f t="shared" si="23"/>
        <v>0</v>
      </c>
      <c r="AJ22" s="322">
        <f t="shared" si="23"/>
        <v>0</v>
      </c>
      <c r="AK22" s="322">
        <f t="shared" si="23"/>
        <v>0</v>
      </c>
      <c r="AL22" s="322">
        <f t="shared" si="23"/>
        <v>0</v>
      </c>
    </row>
    <row r="25" spans="2:38" ht="19.5" customHeight="1">
      <c r="C25" s="118" t="str">
        <f>"Total Non-CO2 Emissions by Sector for "&amp;StateName</f>
        <v>Total Non-CO2 Emissions by Sector for Illinois</v>
      </c>
      <c r="D25" s="119"/>
      <c r="E25" s="119"/>
      <c r="F25" s="119"/>
      <c r="G25" s="119"/>
      <c r="H25" s="119"/>
      <c r="I25" s="118"/>
      <c r="J25" s="119"/>
      <c r="N25" s="304"/>
      <c r="O25" s="304"/>
      <c r="P25" s="304"/>
      <c r="Q25" s="304"/>
      <c r="R25" s="304"/>
      <c r="S25" s="304"/>
      <c r="T25" s="304"/>
      <c r="U25" s="304"/>
    </row>
    <row r="26" spans="2:38">
      <c r="N26" s="304"/>
      <c r="O26" s="277"/>
      <c r="P26" s="277"/>
      <c r="Q26" s="304"/>
      <c r="R26" s="304"/>
      <c r="S26" s="304"/>
      <c r="T26" s="304"/>
      <c r="U26" s="304"/>
    </row>
    <row r="27" spans="2:38">
      <c r="N27" s="304"/>
      <c r="O27" s="277"/>
      <c r="P27" s="277"/>
      <c r="Q27" s="304"/>
      <c r="R27" s="304"/>
      <c r="S27" s="304"/>
      <c r="T27" s="304"/>
      <c r="U27" s="304"/>
    </row>
    <row r="28" spans="2:38">
      <c r="N28" s="304"/>
      <c r="O28" s="276" t="str">
        <f>"Emissions by Sector, 1990-"&amp;B21</f>
        <v>Emissions by Sector, 1990-2020</v>
      </c>
      <c r="P28" s="277"/>
      <c r="Q28" s="304"/>
      <c r="R28" s="304"/>
      <c r="S28" s="304"/>
      <c r="T28" s="304"/>
      <c r="U28" s="304"/>
    </row>
    <row r="29" spans="2:38">
      <c r="N29" s="304"/>
      <c r="O29" s="277"/>
      <c r="P29" s="277"/>
      <c r="Q29" s="304"/>
      <c r="R29" s="304"/>
      <c r="S29" s="304"/>
      <c r="T29" s="304"/>
      <c r="U29" s="304"/>
    </row>
    <row r="30" spans="2:38">
      <c r="N30" s="304"/>
      <c r="O30" s="277"/>
      <c r="P30" s="277"/>
      <c r="Q30" s="304"/>
      <c r="R30" s="304"/>
      <c r="S30" s="304"/>
      <c r="T30" s="304"/>
      <c r="U30" s="304"/>
    </row>
    <row r="31" spans="2:38">
      <c r="N31" s="304"/>
      <c r="O31" s="277"/>
      <c r="P31" s="277"/>
      <c r="Q31" s="304"/>
      <c r="R31" s="304"/>
      <c r="S31" s="304"/>
      <c r="T31" s="304"/>
      <c r="U31" s="304"/>
    </row>
    <row r="32" spans="2:38">
      <c r="N32" s="304"/>
      <c r="O32" s="304"/>
      <c r="P32" s="304"/>
      <c r="Q32" s="304"/>
      <c r="R32" s="304"/>
      <c r="S32" s="304"/>
      <c r="T32" s="304"/>
      <c r="U32" s="304"/>
    </row>
    <row r="33" spans="14:21">
      <c r="N33" s="304"/>
      <c r="O33" s="304"/>
      <c r="P33" s="304"/>
      <c r="Q33" s="304"/>
      <c r="R33" s="304"/>
      <c r="S33" s="304"/>
      <c r="T33" s="304"/>
      <c r="U33" s="304"/>
    </row>
    <row r="34" spans="14:21">
      <c r="N34" s="304"/>
      <c r="O34" s="304"/>
      <c r="P34" s="304"/>
      <c r="Q34" s="304"/>
      <c r="R34" s="304"/>
      <c r="S34" s="304"/>
      <c r="T34" s="304"/>
      <c r="U34" s="304"/>
    </row>
    <row r="35" spans="14:21">
      <c r="N35" s="304"/>
      <c r="O35" s="304"/>
      <c r="P35" s="304"/>
      <c r="Q35" s="304"/>
      <c r="R35" s="304"/>
      <c r="S35" s="304"/>
      <c r="T35" s="304"/>
      <c r="U35" s="304"/>
    </row>
  </sheetData>
  <sheetProtection algorithmName="SHA-512" hashValue="+xYMoRDL1RJCXw7yp0uQK6KyYxKIZWzqkwlSqIAL5cvATge97ALkRqcYx0uMkICl3bkMYXRAbE3JLjHsW4aVWw==" saltValue="hDmTHl5ZYgHUeSNZlQSifA==" spinCount="100000" sheet="1" objects="1" scenarios="1"/>
  <protectedRanges>
    <protectedRange sqref="C21:AL21" name="AES Stationary"/>
  </protectedRanges>
  <mergeCells count="1">
    <mergeCell ref="A1:H1"/>
  </mergeCells>
  <phoneticPr fontId="17" type="noConversion"/>
  <pageMargins left="0.75" right="0.75" top="1" bottom="1" header="0.5" footer="0.5"/>
  <pageSetup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04"/>
  <dimension ref="A1:BX116"/>
  <sheetViews>
    <sheetView showGridLines="0" showRowColHeaders="0" workbookViewId="0">
      <selection activeCell="B3" sqref="B3"/>
    </sheetView>
  </sheetViews>
  <sheetFormatPr defaultRowHeight="12.5"/>
  <cols>
    <col min="1" max="1" width="5.26953125" customWidth="1"/>
    <col min="2" max="2" width="24.1796875" customWidth="1"/>
    <col min="3" max="38" width="12.1796875" customWidth="1"/>
  </cols>
  <sheetData>
    <row r="1" spans="1:76" s="113" customFormat="1" ht="43.5" customHeight="1">
      <c r="A1" s="426" t="str">
        <f>"Summary of CH4 and N2O Emissions from Mobile Combustion in "&amp;StateName&amp;" (MTCO2E)"</f>
        <v>Summary of CH4 and N2O Emissions from Mobile Combustion in Illinois (MTCO2E)</v>
      </c>
      <c r="B1" s="426"/>
      <c r="C1" s="426"/>
      <c r="D1" s="426"/>
      <c r="E1" s="426"/>
      <c r="F1" s="426"/>
      <c r="G1" s="426"/>
      <c r="AZ1" s="113">
        <v>45329.442412268516</v>
      </c>
      <c r="BE1" s="155"/>
    </row>
    <row r="2" spans="1:76" ht="74.150000000000006" customHeight="1">
      <c r="B2" s="18"/>
      <c r="C2" s="18"/>
      <c r="D2" s="18"/>
      <c r="E2" s="18"/>
      <c r="F2" s="18"/>
      <c r="G2" s="18"/>
      <c r="H2" s="18"/>
      <c r="I2" s="18"/>
      <c r="J2" s="18"/>
      <c r="K2" s="18"/>
      <c r="L2" s="18"/>
      <c r="M2" s="121"/>
      <c r="N2" s="121"/>
      <c r="O2" s="121"/>
      <c r="P2" s="121"/>
      <c r="Q2" s="121"/>
      <c r="R2" s="121"/>
      <c r="S2" s="121"/>
      <c r="T2" s="121"/>
      <c r="U2" s="121"/>
      <c r="V2" s="121"/>
      <c r="W2" s="121"/>
      <c r="X2" s="121"/>
      <c r="Y2" s="121"/>
      <c r="Z2" s="121"/>
      <c r="AA2" s="121"/>
      <c r="AB2" s="121"/>
      <c r="AC2" s="121"/>
      <c r="AD2" s="121"/>
      <c r="AE2" s="121"/>
      <c r="AF2" s="121"/>
      <c r="AG2" s="121"/>
      <c r="AH2" s="121"/>
      <c r="AI2" s="121"/>
      <c r="AJ2" s="121"/>
      <c r="AK2" s="121"/>
      <c r="AL2" s="121"/>
    </row>
    <row r="3" spans="1:76" ht="16.5">
      <c r="B3" s="241" t="s">
        <v>70</v>
      </c>
      <c r="C3" s="18"/>
      <c r="D3" s="18"/>
      <c r="E3" s="18"/>
      <c r="F3" s="18"/>
      <c r="G3" s="18"/>
      <c r="H3" s="18"/>
      <c r="I3" s="18"/>
      <c r="J3" s="18"/>
      <c r="K3" s="242"/>
      <c r="L3" s="18"/>
      <c r="M3" s="18"/>
      <c r="N3" s="121"/>
      <c r="O3" s="121"/>
      <c r="P3" s="121"/>
      <c r="Q3" s="121"/>
      <c r="R3" s="121"/>
      <c r="S3" s="121"/>
      <c r="T3" s="121"/>
      <c r="U3" s="121"/>
      <c r="V3" s="121"/>
      <c r="W3" s="121"/>
      <c r="X3" s="121"/>
      <c r="Y3" s="121"/>
      <c r="Z3" s="121"/>
      <c r="AA3" s="121"/>
      <c r="AB3" s="121"/>
      <c r="AC3" s="121"/>
      <c r="AD3" s="121"/>
      <c r="AE3" s="121"/>
      <c r="AF3" s="121"/>
      <c r="AG3" s="121"/>
      <c r="AH3" s="121"/>
      <c r="AI3" s="121"/>
      <c r="AJ3" s="121"/>
      <c r="AK3" s="121"/>
      <c r="AL3" s="121"/>
      <c r="BN3" s="279"/>
      <c r="BO3" s="279"/>
      <c r="BP3" s="279"/>
      <c r="BQ3" s="279"/>
      <c r="BR3" s="279"/>
      <c r="BS3" s="279"/>
      <c r="BT3" s="279"/>
      <c r="BU3" s="279"/>
    </row>
    <row r="4" spans="1:76" ht="14">
      <c r="B4" s="243" t="s">
        <v>71</v>
      </c>
      <c r="C4" s="243">
        <v>1990</v>
      </c>
      <c r="D4" s="243">
        <v>1991</v>
      </c>
      <c r="E4" s="243">
        <v>1992</v>
      </c>
      <c r="F4" s="243">
        <v>1993</v>
      </c>
      <c r="G4" s="243">
        <v>1994</v>
      </c>
      <c r="H4" s="243">
        <v>1995</v>
      </c>
      <c r="I4" s="243">
        <v>1996</v>
      </c>
      <c r="J4" s="243">
        <v>1997</v>
      </c>
      <c r="K4" s="243">
        <v>1998</v>
      </c>
      <c r="L4" s="243">
        <v>1999</v>
      </c>
      <c r="M4" s="243">
        <v>2000</v>
      </c>
      <c r="N4" s="243">
        <v>2001</v>
      </c>
      <c r="O4" s="243">
        <v>2002</v>
      </c>
      <c r="P4" s="243">
        <v>2003</v>
      </c>
      <c r="Q4" s="243">
        <v>2004</v>
      </c>
      <c r="R4" s="243">
        <v>2005</v>
      </c>
      <c r="S4" s="243">
        <v>2006</v>
      </c>
      <c r="T4" s="243">
        <v>2007</v>
      </c>
      <c r="U4" s="243">
        <v>2008</v>
      </c>
      <c r="V4" s="243">
        <v>2009</v>
      </c>
      <c r="W4" s="243">
        <v>2010</v>
      </c>
      <c r="X4" s="243">
        <v>2011</v>
      </c>
      <c r="Y4" s="243">
        <v>2012</v>
      </c>
      <c r="Z4" s="243">
        <v>2013</v>
      </c>
      <c r="AA4" s="243">
        <v>2014</v>
      </c>
      <c r="AB4" s="243">
        <v>2015</v>
      </c>
      <c r="AC4" s="243">
        <v>2016</v>
      </c>
      <c r="AD4" s="243">
        <v>2017</v>
      </c>
      <c r="AE4" s="243">
        <v>2018</v>
      </c>
      <c r="AF4" s="243">
        <v>2019</v>
      </c>
      <c r="AG4" s="243">
        <v>2020</v>
      </c>
      <c r="AH4" s="243">
        <v>2021</v>
      </c>
      <c r="AI4" s="243">
        <v>2022</v>
      </c>
      <c r="AJ4" s="243">
        <v>2023</v>
      </c>
      <c r="AK4" s="243">
        <v>2024</v>
      </c>
      <c r="AL4" s="243">
        <v>2025</v>
      </c>
      <c r="BN4" s="279"/>
      <c r="BO4" s="291"/>
      <c r="BP4" s="291"/>
      <c r="BQ4" s="291"/>
      <c r="BR4" s="291"/>
      <c r="BS4" s="291"/>
      <c r="BT4" s="291"/>
      <c r="BU4" s="291"/>
      <c r="BV4" s="291"/>
      <c r="BW4" s="291"/>
      <c r="BX4" s="291"/>
    </row>
    <row r="5" spans="1:76" ht="14">
      <c r="B5" s="145" t="s">
        <v>72</v>
      </c>
      <c r="C5" s="244">
        <v>1534782.044568134</v>
      </c>
      <c r="D5" s="244">
        <v>1623833.9242196514</v>
      </c>
      <c r="E5" s="244">
        <v>1701946.4215310237</v>
      </c>
      <c r="F5" s="244">
        <v>1774724.6092374078</v>
      </c>
      <c r="G5" s="244">
        <v>1833749.7670349069</v>
      </c>
      <c r="H5" s="244">
        <v>1868919.6861299581</v>
      </c>
      <c r="I5" s="244">
        <v>1906941.7500199405</v>
      </c>
      <c r="J5" s="244">
        <v>1926522.6085499814</v>
      </c>
      <c r="K5" s="244">
        <v>1923331.6658006995</v>
      </c>
      <c r="L5" s="244">
        <v>1781912.1205182543</v>
      </c>
      <c r="M5" s="244">
        <v>1694917.2299246984</v>
      </c>
      <c r="N5" s="244">
        <v>1565684.5889347997</v>
      </c>
      <c r="O5" s="244">
        <v>1490502.8262601276</v>
      </c>
      <c r="P5" s="244">
        <v>1411685.5071643298</v>
      </c>
      <c r="Q5" s="244">
        <v>1303317.5709056712</v>
      </c>
      <c r="R5" s="244">
        <v>1169408.0516546285</v>
      </c>
      <c r="S5" s="244">
        <v>1042127.6787102777</v>
      </c>
      <c r="T5" s="244">
        <v>959589.29705809057</v>
      </c>
      <c r="U5" s="244">
        <v>875230.91195017833</v>
      </c>
      <c r="V5" s="244">
        <v>763889.89028186735</v>
      </c>
      <c r="W5" s="244">
        <v>716161.33095577697</v>
      </c>
      <c r="X5" s="244">
        <v>659112.88748542091</v>
      </c>
      <c r="Y5" s="244">
        <v>580160.56239024305</v>
      </c>
      <c r="Z5" s="244">
        <v>510952.42693894723</v>
      </c>
      <c r="AA5" s="244">
        <v>439144.12418971671</v>
      </c>
      <c r="AB5" s="244">
        <v>377454.27214362519</v>
      </c>
      <c r="AC5" s="244">
        <v>342534.45748233894</v>
      </c>
      <c r="AD5" s="244">
        <v>291747.15532010014</v>
      </c>
      <c r="AE5" s="244">
        <v>242654.94395647166</v>
      </c>
      <c r="AF5" s="244">
        <v>261174.68536904085</v>
      </c>
      <c r="AG5" s="244">
        <v>185786.00894569184</v>
      </c>
      <c r="AH5" s="24">
        <v>0</v>
      </c>
      <c r="AI5" s="24">
        <v>0</v>
      </c>
      <c r="AJ5" s="24">
        <v>0</v>
      </c>
      <c r="AK5" s="24">
        <v>0</v>
      </c>
      <c r="AL5" s="24">
        <v>0</v>
      </c>
      <c r="BN5" s="279"/>
      <c r="BO5" s="291"/>
      <c r="BP5" s="291"/>
      <c r="BQ5" s="291"/>
      <c r="BR5" s="291"/>
      <c r="BS5" s="291"/>
      <c r="BT5" s="291"/>
      <c r="BU5" s="291"/>
      <c r="BV5" s="291"/>
      <c r="BW5" s="291"/>
      <c r="BX5" s="291"/>
    </row>
    <row r="6" spans="1:76" ht="14">
      <c r="B6" s="23" t="s">
        <v>73</v>
      </c>
      <c r="C6" s="245">
        <v>981389.9764313529</v>
      </c>
      <c r="D6" s="245">
        <v>970648.96950219583</v>
      </c>
      <c r="E6" s="245">
        <v>981166.1291021246</v>
      </c>
      <c r="F6" s="245">
        <v>996449.37263023295</v>
      </c>
      <c r="G6" s="245">
        <v>1022309.5785968405</v>
      </c>
      <c r="H6" s="245">
        <v>1032687.3296270404</v>
      </c>
      <c r="I6" s="245">
        <v>1043155.4890373419</v>
      </c>
      <c r="J6" s="245">
        <v>1036595.7149652397</v>
      </c>
      <c r="K6" s="245">
        <v>1027533.3371984034</v>
      </c>
      <c r="L6" s="245">
        <v>929492.6021987095</v>
      </c>
      <c r="M6" s="245">
        <v>876434.07267291006</v>
      </c>
      <c r="N6" s="245">
        <v>812364.39710976684</v>
      </c>
      <c r="O6" s="245">
        <v>766431.11107867234</v>
      </c>
      <c r="P6" s="245">
        <v>711963.89528787194</v>
      </c>
      <c r="Q6" s="245">
        <v>671788.51022423105</v>
      </c>
      <c r="R6" s="245">
        <v>606533.17602992931</v>
      </c>
      <c r="S6" s="245">
        <v>540051.08919488371</v>
      </c>
      <c r="T6" s="245">
        <v>494260.40165249951</v>
      </c>
      <c r="U6" s="245">
        <v>447268.69104228157</v>
      </c>
      <c r="V6" s="245">
        <v>528675.49644818297</v>
      </c>
      <c r="W6" s="245">
        <v>494252.49980549829</v>
      </c>
      <c r="X6" s="245">
        <v>461718.90249895357</v>
      </c>
      <c r="Y6" s="245">
        <v>409164.27567216969</v>
      </c>
      <c r="Z6" s="245">
        <v>361506.84982924291</v>
      </c>
      <c r="AA6" s="245">
        <v>306528.80161465646</v>
      </c>
      <c r="AB6" s="245">
        <v>268417.84858896211</v>
      </c>
      <c r="AC6" s="245">
        <v>235213.03785839779</v>
      </c>
      <c r="AD6" s="245">
        <v>200688.60064347947</v>
      </c>
      <c r="AE6" s="245">
        <v>171901.57450948408</v>
      </c>
      <c r="AF6" s="245">
        <v>175076.26547604502</v>
      </c>
      <c r="AG6" s="245">
        <v>115440.95386822999</v>
      </c>
      <c r="AH6" s="245">
        <v>0</v>
      </c>
      <c r="AI6" s="245">
        <v>0</v>
      </c>
      <c r="AJ6" s="245">
        <v>0</v>
      </c>
      <c r="AK6" s="245">
        <v>0</v>
      </c>
      <c r="AL6" s="245">
        <v>0</v>
      </c>
      <c r="BN6" s="279"/>
      <c r="BO6" s="291"/>
      <c r="BP6" s="291"/>
      <c r="BQ6" s="291"/>
      <c r="BR6" s="291"/>
      <c r="BS6" s="291"/>
      <c r="BT6" s="291"/>
      <c r="BU6" s="291"/>
      <c r="BV6" s="291"/>
      <c r="BW6" s="291"/>
      <c r="BX6" s="291"/>
    </row>
    <row r="7" spans="1:76" s="291" customFormat="1" ht="14">
      <c r="A7"/>
      <c r="B7" s="23" t="s">
        <v>74</v>
      </c>
      <c r="C7" s="245">
        <v>518970.66664204112</v>
      </c>
      <c r="D7" s="245">
        <v>614462.23867005389</v>
      </c>
      <c r="E7" s="245">
        <v>681715.70210429863</v>
      </c>
      <c r="F7" s="245">
        <v>739499.46506805322</v>
      </c>
      <c r="G7" s="245">
        <v>771062.62436403811</v>
      </c>
      <c r="H7" s="245">
        <v>795015.60761262686</v>
      </c>
      <c r="I7" s="245">
        <v>821122.64459087362</v>
      </c>
      <c r="J7" s="245">
        <v>845467.52016810572</v>
      </c>
      <c r="K7" s="245">
        <v>848884.95695947332</v>
      </c>
      <c r="L7" s="245">
        <v>804870.47517416882</v>
      </c>
      <c r="M7" s="245">
        <v>771802.66825541377</v>
      </c>
      <c r="N7" s="245">
        <v>709957.89738182782</v>
      </c>
      <c r="O7" s="245">
        <v>678123.75261542434</v>
      </c>
      <c r="P7" s="245">
        <v>652713.18615846976</v>
      </c>
      <c r="Q7" s="245">
        <v>585980.67402408423</v>
      </c>
      <c r="R7" s="245">
        <v>521991.7649461808</v>
      </c>
      <c r="S7" s="245">
        <v>490000.25865644671</v>
      </c>
      <c r="T7" s="245">
        <v>454077.42239675042</v>
      </c>
      <c r="U7" s="245">
        <v>417419.98296468135</v>
      </c>
      <c r="V7" s="245">
        <v>220578.28434792775</v>
      </c>
      <c r="W7" s="245">
        <v>209526.64608547965</v>
      </c>
      <c r="X7" s="245">
        <v>186930.02772565823</v>
      </c>
      <c r="Y7" s="245">
        <v>161408.14013931769</v>
      </c>
      <c r="Z7" s="245">
        <v>141039.84695804075</v>
      </c>
      <c r="AA7" s="245">
        <v>125517.48075894067</v>
      </c>
      <c r="AB7" s="245">
        <v>103221.9126681847</v>
      </c>
      <c r="AC7" s="245">
        <v>91469.92292142025</v>
      </c>
      <c r="AD7" s="245">
        <v>77223.130293425114</v>
      </c>
      <c r="AE7" s="245">
        <v>58901.233684220184</v>
      </c>
      <c r="AF7" s="245">
        <v>74250.062124714124</v>
      </c>
      <c r="AG7" s="245">
        <v>61789.228873433858</v>
      </c>
      <c r="AH7" s="24">
        <v>0</v>
      </c>
      <c r="AI7" s="24">
        <v>0</v>
      </c>
      <c r="AJ7" s="24">
        <v>0</v>
      </c>
      <c r="AK7" s="24">
        <v>0</v>
      </c>
      <c r="AL7" s="24">
        <v>0</v>
      </c>
      <c r="AM7"/>
      <c r="AN7"/>
      <c r="AO7"/>
      <c r="AP7"/>
      <c r="AQ7"/>
      <c r="AR7"/>
      <c r="AS7"/>
      <c r="AT7"/>
      <c r="AU7"/>
      <c r="AV7"/>
      <c r="AW7"/>
      <c r="AX7"/>
      <c r="AY7"/>
      <c r="AZ7"/>
      <c r="BA7"/>
      <c r="BB7"/>
      <c r="BC7"/>
      <c r="BD7"/>
      <c r="BE7"/>
      <c r="BF7"/>
      <c r="BG7"/>
      <c r="BH7"/>
      <c r="BI7"/>
      <c r="BJ7"/>
      <c r="BK7"/>
      <c r="BL7"/>
      <c r="BM7"/>
      <c r="BN7" s="279" t="str">
        <f>"Total Methane and Nitrous Oxide Emissions from Mobile Sources, by Mode/Vehicle Type, 1990-"&amp;B30</f>
        <v>Total Methane and Nitrous Oxide Emissions from Mobile Sources, by Mode/Vehicle Type, 1990-2020</v>
      </c>
    </row>
    <row r="8" spans="1:76" s="291" customFormat="1" ht="14">
      <c r="A8"/>
      <c r="B8" s="23" t="s">
        <v>75</v>
      </c>
      <c r="C8" s="245">
        <v>32793.393446940012</v>
      </c>
      <c r="D8" s="245">
        <v>37053.760668761941</v>
      </c>
      <c r="E8" s="245">
        <v>37352.421446048116</v>
      </c>
      <c r="F8" s="245">
        <v>37023.769420000885</v>
      </c>
      <c r="G8" s="245">
        <v>38575.91681769352</v>
      </c>
      <c r="H8" s="245">
        <v>39390.360597584418</v>
      </c>
      <c r="I8" s="245">
        <v>40951.666000939797</v>
      </c>
      <c r="J8" s="245">
        <v>42821.363586140462</v>
      </c>
      <c r="K8" s="245">
        <v>45308.893285765866</v>
      </c>
      <c r="L8" s="245">
        <v>45851.592244788488</v>
      </c>
      <c r="M8" s="245">
        <v>45070.053178171227</v>
      </c>
      <c r="N8" s="245">
        <v>41926.230743280867</v>
      </c>
      <c r="O8" s="245">
        <v>44540.498220679314</v>
      </c>
      <c r="P8" s="245">
        <v>45625.73077936827</v>
      </c>
      <c r="Q8" s="245">
        <v>44110.150744374281</v>
      </c>
      <c r="R8" s="245">
        <v>39469.302173214055</v>
      </c>
      <c r="S8" s="245">
        <v>10958.275034380227</v>
      </c>
      <c r="T8" s="245">
        <v>10321.181215452281</v>
      </c>
      <c r="U8" s="245">
        <v>9752.5190449607071</v>
      </c>
      <c r="V8" s="245">
        <v>13575.051234919274</v>
      </c>
      <c r="W8" s="245">
        <v>11524.609807869167</v>
      </c>
      <c r="X8" s="245">
        <v>9685.6294308515207</v>
      </c>
      <c r="Y8" s="245">
        <v>8800.2092856182862</v>
      </c>
      <c r="Z8" s="245">
        <v>7742.7976059104467</v>
      </c>
      <c r="AA8" s="245">
        <v>6540.880298949769</v>
      </c>
      <c r="AB8" s="245">
        <v>5346.0128913924655</v>
      </c>
      <c r="AC8" s="245">
        <v>15427.489786033051</v>
      </c>
      <c r="AD8" s="245">
        <v>13462.756731524265</v>
      </c>
      <c r="AE8" s="245">
        <v>11533.424336410639</v>
      </c>
      <c r="AF8" s="245">
        <v>11415.009487610892</v>
      </c>
      <c r="AG8" s="245">
        <v>8251.1080575844517</v>
      </c>
      <c r="AH8" s="24">
        <v>0</v>
      </c>
      <c r="AI8" s="24">
        <v>0</v>
      </c>
      <c r="AJ8" s="24">
        <v>0</v>
      </c>
      <c r="AK8" s="24">
        <v>0</v>
      </c>
      <c r="AL8" s="24">
        <v>0</v>
      </c>
      <c r="AM8"/>
      <c r="AN8"/>
      <c r="AO8"/>
      <c r="AP8"/>
      <c r="AQ8"/>
      <c r="AR8"/>
      <c r="AS8"/>
      <c r="AT8"/>
      <c r="AU8"/>
      <c r="AV8"/>
      <c r="AW8"/>
      <c r="AX8"/>
      <c r="AY8"/>
      <c r="AZ8"/>
      <c r="BA8"/>
      <c r="BB8"/>
      <c r="BC8"/>
      <c r="BD8"/>
      <c r="BE8"/>
      <c r="BF8"/>
      <c r="BG8"/>
      <c r="BH8"/>
      <c r="BI8"/>
      <c r="BJ8"/>
      <c r="BK8"/>
      <c r="BL8"/>
      <c r="BM8"/>
      <c r="BN8" s="279" t="str">
        <f>"Total Methane and Nitrous Oxide Emissions from Non-Highway Mobile Sources, 1990-"&amp;B30</f>
        <v>Total Methane and Nitrous Oxide Emissions from Non-Highway Mobile Sources, 1990-2020</v>
      </c>
    </row>
    <row r="9" spans="1:76" s="291" customFormat="1" ht="14">
      <c r="A9"/>
      <c r="B9" s="23" t="s">
        <v>76</v>
      </c>
      <c r="C9" s="245">
        <v>1628.0080478000452</v>
      </c>
      <c r="D9" s="245">
        <v>1668.9553786396657</v>
      </c>
      <c r="E9" s="245">
        <v>1712.1688785524709</v>
      </c>
      <c r="F9" s="245">
        <v>1752.0021191207622</v>
      </c>
      <c r="G9" s="245">
        <v>1801.6472563349575</v>
      </c>
      <c r="H9" s="245">
        <v>1826.3882927062818</v>
      </c>
      <c r="I9" s="245">
        <v>1711.9503907850408</v>
      </c>
      <c r="J9" s="245">
        <v>1638.0098304954065</v>
      </c>
      <c r="K9" s="245">
        <v>1604.4783570565733</v>
      </c>
      <c r="L9" s="245">
        <v>1697.4509005875098</v>
      </c>
      <c r="M9" s="245">
        <v>1610.4358182034794</v>
      </c>
      <c r="N9" s="245">
        <v>1436.0636999241692</v>
      </c>
      <c r="O9" s="245">
        <v>1407.464345351809</v>
      </c>
      <c r="P9" s="245">
        <v>1382.6949386198139</v>
      </c>
      <c r="Q9" s="245">
        <v>1438.2359129816659</v>
      </c>
      <c r="R9" s="245">
        <v>1413.8085053044556</v>
      </c>
      <c r="S9" s="245">
        <v>1118.0558245672069</v>
      </c>
      <c r="T9" s="245">
        <v>930.29179338820745</v>
      </c>
      <c r="U9" s="245">
        <v>789.71889825475773</v>
      </c>
      <c r="V9" s="245">
        <v>1061.0582508372945</v>
      </c>
      <c r="W9" s="245">
        <v>857.57525692988497</v>
      </c>
      <c r="X9" s="245">
        <v>778.32782995751734</v>
      </c>
      <c r="Y9" s="245">
        <v>787.9372931372634</v>
      </c>
      <c r="Z9" s="245">
        <v>662.93254575310573</v>
      </c>
      <c r="AA9" s="245">
        <v>556.96151716978738</v>
      </c>
      <c r="AB9" s="245">
        <v>468.49799508592821</v>
      </c>
      <c r="AC9" s="245">
        <v>424.00691648790246</v>
      </c>
      <c r="AD9" s="245">
        <v>372.66765167131206</v>
      </c>
      <c r="AE9" s="245">
        <v>318.71142635677472</v>
      </c>
      <c r="AF9" s="245">
        <v>433.3482806708405</v>
      </c>
      <c r="AG9" s="245">
        <v>304.71814644353668</v>
      </c>
      <c r="AH9" s="24">
        <v>0</v>
      </c>
      <c r="AI9" s="24">
        <v>0</v>
      </c>
      <c r="AJ9" s="24">
        <v>0</v>
      </c>
      <c r="AK9" s="24">
        <v>0</v>
      </c>
      <c r="AL9" s="24">
        <v>0</v>
      </c>
      <c r="AM9"/>
      <c r="AN9"/>
      <c r="AO9"/>
      <c r="AP9"/>
      <c r="AQ9"/>
      <c r="AR9"/>
      <c r="AS9"/>
      <c r="AT9"/>
      <c r="AU9"/>
      <c r="AV9"/>
      <c r="AW9"/>
      <c r="AX9"/>
      <c r="AY9"/>
      <c r="AZ9"/>
      <c r="BA9"/>
      <c r="BB9"/>
      <c r="BC9"/>
      <c r="BD9"/>
      <c r="BE9"/>
      <c r="BF9"/>
      <c r="BG9"/>
      <c r="BH9"/>
      <c r="BI9"/>
      <c r="BJ9"/>
      <c r="BK9"/>
      <c r="BL9"/>
      <c r="BM9"/>
      <c r="BN9" s="279" t="str">
        <f>"Methane Emissions from Mobile Sources, by Mode/Vehicle Type, 1990-"&amp;B83</f>
        <v>Methane Emissions from Mobile Sources, by Mode/Vehicle Type, 1990-2020</v>
      </c>
    </row>
    <row r="10" spans="1:76" s="291" customFormat="1" ht="14">
      <c r="A10"/>
      <c r="B10" s="145" t="s">
        <v>77</v>
      </c>
      <c r="C10" s="244">
        <v>7117.6956110765541</v>
      </c>
      <c r="D10" s="244">
        <v>7306.4555449413019</v>
      </c>
      <c r="E10" s="244">
        <v>7674.344572351346</v>
      </c>
      <c r="F10" s="244">
        <v>7837.4383475274881</v>
      </c>
      <c r="G10" s="244">
        <v>8528.4067954944148</v>
      </c>
      <c r="H10" s="244">
        <v>8989.963588322189</v>
      </c>
      <c r="I10" s="244">
        <v>9259.878548751034</v>
      </c>
      <c r="J10" s="244">
        <v>9761.8513185545689</v>
      </c>
      <c r="K10" s="244">
        <v>10008.122307564734</v>
      </c>
      <c r="L10" s="244">
        <v>10315.655816146425</v>
      </c>
      <c r="M10" s="244">
        <v>10318.518397190868</v>
      </c>
      <c r="N10" s="244">
        <v>10663.562429194124</v>
      </c>
      <c r="O10" s="244">
        <v>10908.462306596324</v>
      </c>
      <c r="P10" s="244">
        <v>10927.119498858308</v>
      </c>
      <c r="Q10" s="244">
        <v>11424.631847856675</v>
      </c>
      <c r="R10" s="244">
        <v>11035.837174599375</v>
      </c>
      <c r="S10" s="244">
        <v>11977.028996726478</v>
      </c>
      <c r="T10" s="244">
        <v>23600.246408819985</v>
      </c>
      <c r="U10" s="244">
        <v>30316.435184087382</v>
      </c>
      <c r="V10" s="244">
        <v>41997.808470375763</v>
      </c>
      <c r="W10" s="244">
        <v>46889.278264433386</v>
      </c>
      <c r="X10" s="244">
        <v>49664.027503410995</v>
      </c>
      <c r="Y10" s="244">
        <v>59336.472541560033</v>
      </c>
      <c r="Z10" s="244">
        <v>68518.265606819477</v>
      </c>
      <c r="AA10" s="244">
        <v>77752.985274430903</v>
      </c>
      <c r="AB10" s="244">
        <v>83581.862483365738</v>
      </c>
      <c r="AC10" s="244">
        <v>82338.341153360976</v>
      </c>
      <c r="AD10" s="244">
        <v>88404.315073661463</v>
      </c>
      <c r="AE10" s="244">
        <v>97998.401972896565</v>
      </c>
      <c r="AF10" s="244">
        <v>99022.883890552534</v>
      </c>
      <c r="AG10" s="244">
        <v>90479.501848335713</v>
      </c>
      <c r="AH10" s="244">
        <v>0</v>
      </c>
      <c r="AI10" s="244">
        <v>0</v>
      </c>
      <c r="AJ10" s="244">
        <v>0</v>
      </c>
      <c r="AK10" s="244">
        <v>0</v>
      </c>
      <c r="AL10" s="244">
        <v>0</v>
      </c>
      <c r="AM10"/>
      <c r="AN10"/>
      <c r="AO10"/>
      <c r="AP10"/>
      <c r="AQ10"/>
      <c r="AR10"/>
      <c r="AS10"/>
      <c r="AT10"/>
      <c r="AU10"/>
      <c r="AV10"/>
      <c r="AW10"/>
      <c r="AX10"/>
      <c r="AY10"/>
      <c r="AZ10"/>
      <c r="BA10"/>
      <c r="BB10"/>
      <c r="BC10"/>
      <c r="BD10"/>
      <c r="BE10"/>
      <c r="BF10"/>
      <c r="BG10"/>
      <c r="BH10"/>
      <c r="BI10"/>
      <c r="BJ10"/>
      <c r="BK10"/>
      <c r="BL10"/>
      <c r="BM10"/>
      <c r="BN10" s="279" t="str">
        <f>"Methane Emissions from Non-Highway Mobile Sources, 1990-"&amp;B83</f>
        <v>Methane Emissions from Non-Highway Mobile Sources, 1990-2020</v>
      </c>
    </row>
    <row r="11" spans="1:76" s="291" customFormat="1" ht="14">
      <c r="A11"/>
      <c r="B11" s="23" t="s">
        <v>73</v>
      </c>
      <c r="C11" s="245">
        <v>165.94216237537802</v>
      </c>
      <c r="D11" s="245">
        <v>150.40247087035956</v>
      </c>
      <c r="E11" s="245">
        <v>146.05257180543543</v>
      </c>
      <c r="F11" s="245">
        <v>143.10775938410526</v>
      </c>
      <c r="G11" s="245">
        <v>137.80177968631736</v>
      </c>
      <c r="H11" s="245">
        <v>129.52960148241721</v>
      </c>
      <c r="I11" s="245">
        <v>124.73797383887002</v>
      </c>
      <c r="J11" s="245">
        <v>123.17390658490025</v>
      </c>
      <c r="K11" s="245">
        <v>116.47363089284258</v>
      </c>
      <c r="L11" s="245">
        <v>118.68567075507517</v>
      </c>
      <c r="M11" s="245">
        <v>112.19736207450173</v>
      </c>
      <c r="N11" s="245">
        <v>99.027203817425658</v>
      </c>
      <c r="O11" s="245">
        <v>100.26107129794326</v>
      </c>
      <c r="P11" s="245">
        <v>99.584555513552374</v>
      </c>
      <c r="Q11" s="245">
        <v>101.68896110689175</v>
      </c>
      <c r="R11" s="245">
        <v>99.348849261952779</v>
      </c>
      <c r="S11" s="245">
        <v>89.835321355767491</v>
      </c>
      <c r="T11" s="245">
        <v>99.400817056053597</v>
      </c>
      <c r="U11" s="245">
        <v>112.10037728794047</v>
      </c>
      <c r="V11" s="245">
        <v>339.76616664217977</v>
      </c>
      <c r="W11" s="245">
        <v>631.59031054460195</v>
      </c>
      <c r="X11" s="245">
        <v>908.47345246616078</v>
      </c>
      <c r="Y11" s="245">
        <v>1214.3830014852588</v>
      </c>
      <c r="Z11" s="245">
        <v>1437.6265738302318</v>
      </c>
      <c r="AA11" s="245">
        <v>1583.441893387534</v>
      </c>
      <c r="AB11" s="245">
        <v>1735.3808349811957</v>
      </c>
      <c r="AC11" s="245">
        <v>1731.309137823034</v>
      </c>
      <c r="AD11" s="245">
        <v>1811.0437569393607</v>
      </c>
      <c r="AE11" s="245">
        <v>1875.0899129579477</v>
      </c>
      <c r="AF11" s="245">
        <v>1831.5742743323194</v>
      </c>
      <c r="AG11" s="245">
        <v>1400.9626389722214</v>
      </c>
      <c r="AH11" s="245">
        <v>0</v>
      </c>
      <c r="AI11" s="245">
        <v>0</v>
      </c>
      <c r="AJ11" s="245">
        <v>0</v>
      </c>
      <c r="AK11" s="245">
        <v>0</v>
      </c>
      <c r="AL11" s="245">
        <v>0</v>
      </c>
      <c r="AM11"/>
      <c r="AN11"/>
      <c r="AO11"/>
      <c r="AP11"/>
      <c r="AQ11"/>
      <c r="AR11"/>
      <c r="AS11"/>
      <c r="AT11"/>
      <c r="AU11"/>
      <c r="AV11"/>
      <c r="AW11"/>
      <c r="AX11"/>
      <c r="AY11"/>
      <c r="AZ11"/>
      <c r="BA11"/>
      <c r="BB11"/>
      <c r="BC11"/>
      <c r="BD11"/>
      <c r="BE11"/>
      <c r="BF11"/>
      <c r="BG11"/>
      <c r="BH11"/>
      <c r="BI11"/>
      <c r="BJ11"/>
      <c r="BK11"/>
      <c r="BL11"/>
      <c r="BM11"/>
      <c r="BN11" s="279" t="str">
        <f>"Nitrous Oxide Emissions from Mobile Sources, by Mode/Vehicle Type, 1990-"&amp;B111</f>
        <v>Nitrous Oxide Emissions from Mobile Sources, by Mode/Vehicle Type, 1990-2020</v>
      </c>
    </row>
    <row r="12" spans="1:76" s="291" customFormat="1" ht="14">
      <c r="A12"/>
      <c r="B12" s="23" t="s">
        <v>74</v>
      </c>
      <c r="C12" s="245">
        <v>271.67513156681042</v>
      </c>
      <c r="D12" s="245">
        <v>300.20145871212702</v>
      </c>
      <c r="E12" s="245">
        <v>327.9248723397032</v>
      </c>
      <c r="F12" s="245">
        <v>353.90170210498019</v>
      </c>
      <c r="G12" s="245">
        <v>364.28402839737726</v>
      </c>
      <c r="H12" s="245">
        <v>372.98066550466513</v>
      </c>
      <c r="I12" s="245">
        <v>386.81703245135492</v>
      </c>
      <c r="J12" s="245">
        <v>407.32039975811739</v>
      </c>
      <c r="K12" s="245">
        <v>411.00521967652196</v>
      </c>
      <c r="L12" s="245">
        <v>417.36535815092577</v>
      </c>
      <c r="M12" s="245">
        <v>422.96564703942488</v>
      </c>
      <c r="N12" s="245">
        <v>417.69251424394855</v>
      </c>
      <c r="O12" s="245">
        <v>428.41693219070027</v>
      </c>
      <c r="P12" s="245">
        <v>441.62081077269261</v>
      </c>
      <c r="Q12" s="245">
        <v>448.50829782203846</v>
      </c>
      <c r="R12" s="245">
        <v>447.73848647112379</v>
      </c>
      <c r="S12" s="245">
        <v>507.59643960732643</v>
      </c>
      <c r="T12" s="245">
        <v>1660.8341195143271</v>
      </c>
      <c r="U12" s="245">
        <v>2603.5887855351243</v>
      </c>
      <c r="V12" s="245">
        <v>1645.2574171330853</v>
      </c>
      <c r="W12" s="245">
        <v>1868.4556361030782</v>
      </c>
      <c r="X12" s="245">
        <v>2070.1570468596879</v>
      </c>
      <c r="Y12" s="245">
        <v>2497.5209123019717</v>
      </c>
      <c r="Z12" s="245">
        <v>2907.6406893238041</v>
      </c>
      <c r="AA12" s="245">
        <v>3433.1571443530952</v>
      </c>
      <c r="AB12" s="245">
        <v>3692.0481263435822</v>
      </c>
      <c r="AC12" s="245">
        <v>3904.2772586079814</v>
      </c>
      <c r="AD12" s="245">
        <v>4201.7795132647834</v>
      </c>
      <c r="AE12" s="245">
        <v>4411.3807874971726</v>
      </c>
      <c r="AF12" s="245">
        <v>3993.2731018088666</v>
      </c>
      <c r="AG12" s="245">
        <v>3803.6498726525674</v>
      </c>
      <c r="AH12" s="245">
        <v>0</v>
      </c>
      <c r="AI12" s="245">
        <v>0</v>
      </c>
      <c r="AJ12" s="245">
        <v>0</v>
      </c>
      <c r="AK12" s="245">
        <v>0</v>
      </c>
      <c r="AL12" s="245">
        <v>0</v>
      </c>
      <c r="AM12"/>
      <c r="AN12"/>
      <c r="AO12"/>
      <c r="AP12"/>
      <c r="AQ12"/>
      <c r="AR12"/>
      <c r="AS12"/>
      <c r="AT12"/>
      <c r="AU12"/>
      <c r="AV12"/>
      <c r="AW12"/>
      <c r="AX12"/>
      <c r="AY12"/>
      <c r="AZ12"/>
      <c r="BA12"/>
      <c r="BB12"/>
      <c r="BC12"/>
      <c r="BD12"/>
      <c r="BE12"/>
      <c r="BF12"/>
      <c r="BG12"/>
      <c r="BH12"/>
      <c r="BI12"/>
      <c r="BJ12"/>
      <c r="BK12"/>
      <c r="BL12"/>
      <c r="BM12"/>
      <c r="BN12" s="279" t="str">
        <f>"Nitrous Oxide Emissions from Non-Highway Mobile Sources, 1990-"&amp;B111</f>
        <v>Nitrous Oxide Emissions from Non-Highway Mobile Sources, 1990-2020</v>
      </c>
    </row>
    <row r="13" spans="1:76" ht="14">
      <c r="B13" s="23" t="s">
        <v>75</v>
      </c>
      <c r="C13" s="245">
        <v>6168.6551018829632</v>
      </c>
      <c r="D13" s="245">
        <v>6336.2655389909805</v>
      </c>
      <c r="E13" s="245">
        <v>6682.8704924950443</v>
      </c>
      <c r="F13" s="245">
        <v>6791.274564412779</v>
      </c>
      <c r="G13" s="245">
        <v>7450.7740747512535</v>
      </c>
      <c r="H13" s="245">
        <v>7914.5874428176685</v>
      </c>
      <c r="I13" s="245">
        <v>8160.9777793981266</v>
      </c>
      <c r="J13" s="245">
        <v>8621.6303419948163</v>
      </c>
      <c r="K13" s="245">
        <v>8859.6233917723712</v>
      </c>
      <c r="L13" s="245">
        <v>9110.7672673137367</v>
      </c>
      <c r="M13" s="245">
        <v>9134.7809759365136</v>
      </c>
      <c r="N13" s="245">
        <v>9557.1433700203634</v>
      </c>
      <c r="O13" s="245">
        <v>9813.876486677791</v>
      </c>
      <c r="P13" s="245">
        <v>9829.6196919711438</v>
      </c>
      <c r="Q13" s="245">
        <v>10320.941041340246</v>
      </c>
      <c r="R13" s="245">
        <v>9935.7228821676781</v>
      </c>
      <c r="S13" s="245">
        <v>10855.711515169636</v>
      </c>
      <c r="T13" s="245">
        <v>20011.813389017636</v>
      </c>
      <c r="U13" s="245">
        <v>25123.821423738162</v>
      </c>
      <c r="V13" s="245">
        <v>37201.165612802492</v>
      </c>
      <c r="W13" s="245">
        <v>41414.125798524095</v>
      </c>
      <c r="X13" s="245">
        <v>43249.944935551284</v>
      </c>
      <c r="Y13" s="245">
        <v>51536.082363050344</v>
      </c>
      <c r="Z13" s="245">
        <v>59564.8630779421</v>
      </c>
      <c r="AA13" s="245">
        <v>67470.682968383058</v>
      </c>
      <c r="AB13" s="245">
        <v>72516.621499012574</v>
      </c>
      <c r="AC13" s="245">
        <v>70676.140131694148</v>
      </c>
      <c r="AD13" s="245">
        <v>75724.657729984232</v>
      </c>
      <c r="AE13" s="245">
        <v>84227.445010189156</v>
      </c>
      <c r="AF13" s="245">
        <v>84720.013287356633</v>
      </c>
      <c r="AG13" s="245">
        <v>78929.884734455889</v>
      </c>
      <c r="AH13" s="245">
        <v>0</v>
      </c>
      <c r="AI13" s="245">
        <v>0</v>
      </c>
      <c r="AJ13" s="245">
        <v>0</v>
      </c>
      <c r="AK13" s="245">
        <v>0</v>
      </c>
      <c r="AL13" s="245">
        <v>0</v>
      </c>
      <c r="BN13" s="279"/>
      <c r="BO13" s="291"/>
      <c r="BP13" s="291"/>
      <c r="BQ13" s="291"/>
      <c r="BR13" s="291"/>
      <c r="BS13" s="291"/>
      <c r="BT13" s="291"/>
      <c r="BU13" s="291"/>
      <c r="BV13" s="291"/>
      <c r="BW13" s="291"/>
      <c r="BX13" s="291"/>
    </row>
    <row r="14" spans="1:76" ht="14">
      <c r="B14" s="23" t="s">
        <v>378</v>
      </c>
      <c r="C14" s="245">
        <v>511.42321525140198</v>
      </c>
      <c r="D14" s="245">
        <v>519.58607636783506</v>
      </c>
      <c r="E14" s="245">
        <v>517.49663571116218</v>
      </c>
      <c r="F14" s="245">
        <v>549.15432162562297</v>
      </c>
      <c r="G14" s="245">
        <v>575.54691265946667</v>
      </c>
      <c r="H14" s="245">
        <v>572.86587851743707</v>
      </c>
      <c r="I14" s="245">
        <v>587.3457630626815</v>
      </c>
      <c r="J14" s="245">
        <v>609.72667021673487</v>
      </c>
      <c r="K14" s="245">
        <v>621.02006522299894</v>
      </c>
      <c r="L14" s="245">
        <v>668.83751992668863</v>
      </c>
      <c r="M14" s="245">
        <v>648.57441214042922</v>
      </c>
      <c r="N14" s="245">
        <v>589.69934111238615</v>
      </c>
      <c r="O14" s="245">
        <v>565.90781642989043</v>
      </c>
      <c r="P14" s="245">
        <v>556.29444060091839</v>
      </c>
      <c r="Q14" s="245">
        <v>553.49354758750007</v>
      </c>
      <c r="R14" s="245">
        <v>553.02695669862067</v>
      </c>
      <c r="S14" s="245">
        <v>523.88572059374746</v>
      </c>
      <c r="T14" s="245">
        <v>1828.1980832319693</v>
      </c>
      <c r="U14" s="245">
        <v>2476.9245975261592</v>
      </c>
      <c r="V14" s="245">
        <v>2811.6192737980064</v>
      </c>
      <c r="W14" s="245">
        <v>2975.1065192616156</v>
      </c>
      <c r="X14" s="245">
        <v>3435.4520685338603</v>
      </c>
      <c r="Y14" s="245">
        <v>4088.4862647224613</v>
      </c>
      <c r="Z14" s="245">
        <v>4608.1352657233374</v>
      </c>
      <c r="AA14" s="245">
        <v>5265.7032683072084</v>
      </c>
      <c r="AB14" s="245">
        <v>5637.8120230283848</v>
      </c>
      <c r="AC14" s="245">
        <v>6026.6146252358176</v>
      </c>
      <c r="AD14" s="245">
        <v>6666.8340734730828</v>
      </c>
      <c r="AE14" s="245">
        <v>7484.4862622522869</v>
      </c>
      <c r="AF14" s="245">
        <v>8478.0232270547167</v>
      </c>
      <c r="AG14" s="245">
        <v>6345.0046022550223</v>
      </c>
      <c r="AH14" s="245">
        <v>0</v>
      </c>
      <c r="AI14" s="245">
        <v>0</v>
      </c>
      <c r="AJ14" s="245">
        <v>0</v>
      </c>
      <c r="AK14" s="245">
        <v>0</v>
      </c>
      <c r="AL14" s="245">
        <v>0</v>
      </c>
      <c r="BN14" s="279"/>
      <c r="BO14" s="291"/>
      <c r="BP14" s="291"/>
      <c r="BQ14" s="291"/>
      <c r="BR14" s="291"/>
      <c r="BS14" s="291"/>
      <c r="BT14" s="291"/>
      <c r="BU14" s="291"/>
      <c r="BV14" s="291"/>
      <c r="BW14" s="291"/>
      <c r="BX14" s="291"/>
    </row>
    <row r="15" spans="1:76" ht="14">
      <c r="B15" s="145" t="s">
        <v>78</v>
      </c>
      <c r="C15" s="244">
        <v>204646.51534178143</v>
      </c>
      <c r="D15" s="244">
        <v>197311.28539434809</v>
      </c>
      <c r="E15" s="244">
        <v>209936.89941409853</v>
      </c>
      <c r="F15" s="244">
        <v>291140.10692821827</v>
      </c>
      <c r="G15" s="244">
        <v>253400.90962384673</v>
      </c>
      <c r="H15" s="244">
        <v>262271.31551761983</v>
      </c>
      <c r="I15" s="244">
        <v>268675.85985123663</v>
      </c>
      <c r="J15" s="244">
        <v>266742.87445875781</v>
      </c>
      <c r="K15" s="244">
        <v>284506.13221212558</v>
      </c>
      <c r="L15" s="244">
        <v>295786.95538327965</v>
      </c>
      <c r="M15" s="244">
        <v>321185.43446721567</v>
      </c>
      <c r="N15" s="244">
        <v>306095.08471007022</v>
      </c>
      <c r="O15" s="244">
        <v>306140.83062057302</v>
      </c>
      <c r="P15" s="244">
        <v>338644.75430691172</v>
      </c>
      <c r="Q15" s="244">
        <v>347614.36099879968</v>
      </c>
      <c r="R15" s="244">
        <v>436098.84690719395</v>
      </c>
      <c r="S15" s="244">
        <v>441226.68222595082</v>
      </c>
      <c r="T15" s="244">
        <v>313164.79647115734</v>
      </c>
      <c r="U15" s="244">
        <v>307936.17095449462</v>
      </c>
      <c r="V15" s="244">
        <v>265390.63865238975</v>
      </c>
      <c r="W15" s="244">
        <v>384868.26687128033</v>
      </c>
      <c r="X15" s="244">
        <v>380047.76462370704</v>
      </c>
      <c r="Y15" s="244">
        <v>393237.83558426524</v>
      </c>
      <c r="Z15" s="244">
        <v>385775.89141286415</v>
      </c>
      <c r="AA15" s="244">
        <v>393877.3476995317</v>
      </c>
      <c r="AB15" s="244">
        <v>361159.12835259043</v>
      </c>
      <c r="AC15" s="244">
        <v>368847.20613754011</v>
      </c>
      <c r="AD15" s="244">
        <v>379536.08036463388</v>
      </c>
      <c r="AE15" s="244">
        <v>384955.92606656096</v>
      </c>
      <c r="AF15" s="244">
        <v>380145.06078895251</v>
      </c>
      <c r="AG15" s="244">
        <v>324048.65629683546</v>
      </c>
      <c r="AH15" s="244">
        <v>0</v>
      </c>
      <c r="AI15" s="244">
        <v>0</v>
      </c>
      <c r="AJ15" s="244">
        <v>0</v>
      </c>
      <c r="AK15" s="244">
        <v>0</v>
      </c>
      <c r="AL15" s="244">
        <v>0</v>
      </c>
      <c r="BN15" s="279"/>
      <c r="BO15" s="279"/>
      <c r="BP15" s="279"/>
      <c r="BQ15" s="279"/>
      <c r="BR15" s="279"/>
      <c r="BS15" s="279"/>
      <c r="BT15" s="279"/>
      <c r="BU15" s="279"/>
    </row>
    <row r="16" spans="1:76" ht="14">
      <c r="B16" s="23" t="s">
        <v>79</v>
      </c>
      <c r="C16" s="245">
        <v>3132.3832725952298</v>
      </c>
      <c r="D16" s="245">
        <v>3788.8212432940072</v>
      </c>
      <c r="E16" s="245">
        <v>3159.1473296255026</v>
      </c>
      <c r="F16" s="245">
        <v>2879.1527868537255</v>
      </c>
      <c r="G16" s="245">
        <v>3040.5093974412744</v>
      </c>
      <c r="H16" s="245">
        <v>3455.6126908836013</v>
      </c>
      <c r="I16" s="245">
        <v>3164.0590593634493</v>
      </c>
      <c r="J16" s="245">
        <v>3312.7898282852057</v>
      </c>
      <c r="K16" s="245">
        <v>3188.7893312945821</v>
      </c>
      <c r="L16" s="245">
        <v>3559.3477934365123</v>
      </c>
      <c r="M16" s="245">
        <v>3905.5140047978171</v>
      </c>
      <c r="N16" s="245">
        <v>4397.8509621193525</v>
      </c>
      <c r="O16" s="245">
        <v>4054.8514499525272</v>
      </c>
      <c r="P16" s="245">
        <v>4909.7175422329738</v>
      </c>
      <c r="Q16" s="245">
        <v>141.99457053354666</v>
      </c>
      <c r="R16" s="245">
        <v>4303.4126940439373</v>
      </c>
      <c r="S16" s="245">
        <v>4795.4150006758728</v>
      </c>
      <c r="T16" s="245">
        <v>4360.8335321647346</v>
      </c>
      <c r="U16" s="245">
        <v>4154.5046668690929</v>
      </c>
      <c r="V16" s="245">
        <v>4062.9359323119274</v>
      </c>
      <c r="W16" s="245">
        <v>4079.0661873210347</v>
      </c>
      <c r="X16" s="245">
        <v>3794.495580638476</v>
      </c>
      <c r="Y16" s="245">
        <v>4040.6012421549999</v>
      </c>
      <c r="Z16" s="245">
        <v>4189.2213969921349</v>
      </c>
      <c r="AA16" s="245">
        <v>3319.9308991397816</v>
      </c>
      <c r="AB16" s="245">
        <v>5762.9760435865637</v>
      </c>
      <c r="AC16" s="245">
        <v>5757.4371362712827</v>
      </c>
      <c r="AD16" s="245">
        <v>5808.9080478332762</v>
      </c>
      <c r="AE16" s="245">
        <v>5746.7128145346005</v>
      </c>
      <c r="AF16" s="245">
        <v>5658.0302178265883</v>
      </c>
      <c r="AG16" s="245">
        <v>5887.2183244701764</v>
      </c>
      <c r="AH16" s="245">
        <v>0</v>
      </c>
      <c r="AI16" s="245">
        <v>0</v>
      </c>
      <c r="AJ16" s="245">
        <v>0</v>
      </c>
      <c r="AK16" s="245">
        <v>0</v>
      </c>
      <c r="AL16" s="245">
        <v>0</v>
      </c>
      <c r="BN16" s="279"/>
      <c r="BO16" s="279"/>
      <c r="BP16" s="279"/>
      <c r="BQ16" s="279"/>
      <c r="BR16" s="279"/>
      <c r="BS16" s="279"/>
      <c r="BT16" s="279"/>
      <c r="BU16" s="279"/>
    </row>
    <row r="17" spans="2:73" ht="14">
      <c r="B17" s="23" t="s">
        <v>80</v>
      </c>
      <c r="C17" s="245">
        <v>14712.134579999998</v>
      </c>
      <c r="D17" s="245">
        <v>12014.829254999999</v>
      </c>
      <c r="E17" s="245">
        <v>11533.437629999999</v>
      </c>
      <c r="F17" s="245">
        <v>12256.180365000002</v>
      </c>
      <c r="G17" s="245">
        <v>14011.470329999998</v>
      </c>
      <c r="H17" s="245">
        <v>18440.978985000002</v>
      </c>
      <c r="I17" s="245">
        <v>20243.450369999999</v>
      </c>
      <c r="J17" s="245">
        <v>15085.150079999998</v>
      </c>
      <c r="K17" s="245">
        <v>10518.331395000001</v>
      </c>
      <c r="L17" s="245">
        <v>12436.235955</v>
      </c>
      <c r="M17" s="245">
        <v>10732.96653</v>
      </c>
      <c r="N17" s="245">
        <v>7502.2490400000006</v>
      </c>
      <c r="O17" s="245">
        <v>10543.938405000001</v>
      </c>
      <c r="P17" s="245">
        <v>20342.753144999999</v>
      </c>
      <c r="Q17" s="245">
        <v>6845.640945000001</v>
      </c>
      <c r="R17" s="245">
        <v>6347.211585</v>
      </c>
      <c r="S17" s="245">
        <v>4498.97019</v>
      </c>
      <c r="T17" s="245">
        <v>4448.4618750000009</v>
      </c>
      <c r="U17" s="245">
        <v>5489.8808250000002</v>
      </c>
      <c r="V17" s="245">
        <v>6347.3123999999989</v>
      </c>
      <c r="W17" s="245">
        <v>8975.3578199999993</v>
      </c>
      <c r="X17" s="245">
        <v>6675.6668549999995</v>
      </c>
      <c r="Y17" s="245">
        <v>7545.7003049999994</v>
      </c>
      <c r="Z17" s="245">
        <v>8371.9800450000002</v>
      </c>
      <c r="AA17" s="245">
        <v>15318.335174999998</v>
      </c>
      <c r="AB17" s="245">
        <v>20927.278514999998</v>
      </c>
      <c r="AC17" s="245">
        <v>24401.968304999999</v>
      </c>
      <c r="AD17" s="245">
        <v>29735.283435000005</v>
      </c>
      <c r="AE17" s="245">
        <v>31676.980335000004</v>
      </c>
      <c r="AF17" s="245">
        <v>29342.709824999998</v>
      </c>
      <c r="AG17" s="245">
        <v>23528.204699999998</v>
      </c>
      <c r="AH17" s="245">
        <v>0</v>
      </c>
      <c r="AI17" s="245">
        <v>0</v>
      </c>
      <c r="AJ17" s="245">
        <v>0</v>
      </c>
      <c r="AK17" s="245">
        <v>0</v>
      </c>
      <c r="AL17" s="245">
        <v>0</v>
      </c>
      <c r="BN17" s="279"/>
      <c r="BO17" s="279"/>
      <c r="BP17" s="279"/>
      <c r="BQ17" s="279"/>
      <c r="BR17" s="279"/>
      <c r="BS17" s="279"/>
      <c r="BT17" s="279"/>
      <c r="BU17" s="279"/>
    </row>
    <row r="18" spans="2:73" ht="14">
      <c r="B18" s="23" t="s">
        <v>81</v>
      </c>
      <c r="C18" s="245">
        <v>77780.666706383112</v>
      </c>
      <c r="D18" s="245">
        <v>69247.41067956535</v>
      </c>
      <c r="E18" s="245">
        <v>76003.620084994662</v>
      </c>
      <c r="F18" s="245">
        <v>70341.59259827793</v>
      </c>
      <c r="G18" s="245">
        <v>69047.889077528263</v>
      </c>
      <c r="H18" s="245">
        <v>83032.079133674517</v>
      </c>
      <c r="I18" s="245">
        <v>77898.051920252503</v>
      </c>
      <c r="J18" s="245">
        <v>78662.161819645436</v>
      </c>
      <c r="K18" s="245">
        <v>78401.615958349197</v>
      </c>
      <c r="L18" s="245">
        <v>56238.06879618462</v>
      </c>
      <c r="M18" s="245">
        <v>62427.575611633481</v>
      </c>
      <c r="N18" s="245">
        <v>57868.478611731305</v>
      </c>
      <c r="O18" s="245">
        <v>57601.864175524148</v>
      </c>
      <c r="P18" s="245">
        <v>61161.690242788507</v>
      </c>
      <c r="Q18" s="245">
        <v>62914.211372811544</v>
      </c>
      <c r="R18" s="245">
        <v>63884.563616754735</v>
      </c>
      <c r="S18" s="245">
        <v>80910.585168409874</v>
      </c>
      <c r="T18" s="245">
        <v>70948.228809549662</v>
      </c>
      <c r="U18" s="245">
        <v>78005.690806427097</v>
      </c>
      <c r="V18" s="245">
        <v>49980.323870344626</v>
      </c>
      <c r="W18" s="245">
        <v>56131.850250477983</v>
      </c>
      <c r="X18" s="245">
        <v>59443.200590113665</v>
      </c>
      <c r="Y18" s="245">
        <v>60119.893722006484</v>
      </c>
      <c r="Z18" s="245">
        <v>64276.98059397599</v>
      </c>
      <c r="AA18" s="245">
        <v>68564.612412255767</v>
      </c>
      <c r="AB18" s="245">
        <v>62589.819425189817</v>
      </c>
      <c r="AC18" s="245">
        <v>62523.914107774108</v>
      </c>
      <c r="AD18" s="245">
        <v>61997.622369617748</v>
      </c>
      <c r="AE18" s="245">
        <v>64497.937810360825</v>
      </c>
      <c r="AF18" s="245">
        <v>57368.678841266687</v>
      </c>
      <c r="AG18" s="245">
        <v>64436.238953171931</v>
      </c>
      <c r="AH18" s="245">
        <v>0</v>
      </c>
      <c r="AI18" s="245">
        <v>0</v>
      </c>
      <c r="AJ18" s="245">
        <v>0</v>
      </c>
      <c r="AK18" s="245">
        <v>0</v>
      </c>
      <c r="AL18" s="245">
        <v>0</v>
      </c>
    </row>
    <row r="19" spans="2:73" ht="14">
      <c r="B19" s="23" t="s">
        <v>82</v>
      </c>
      <c r="C19" s="245">
        <v>62609.500319774488</v>
      </c>
      <c r="D19" s="245">
        <v>56510.79225652937</v>
      </c>
      <c r="E19" s="245">
        <v>58962.748991496366</v>
      </c>
      <c r="F19" s="245">
        <v>64821.530950100503</v>
      </c>
      <c r="G19" s="245">
        <v>64537.140100824967</v>
      </c>
      <c r="H19" s="245">
        <v>52368.249337377099</v>
      </c>
      <c r="I19" s="245">
        <v>56003.244203985123</v>
      </c>
      <c r="J19" s="245">
        <v>54453.428302096705</v>
      </c>
      <c r="K19" s="245">
        <v>51593.369376348601</v>
      </c>
      <c r="L19" s="245">
        <v>54544.059596819985</v>
      </c>
      <c r="M19" s="245">
        <v>52892.808529895672</v>
      </c>
      <c r="N19" s="245">
        <v>60508.952273550116</v>
      </c>
      <c r="O19" s="245">
        <v>73453.122855989117</v>
      </c>
      <c r="P19" s="245">
        <v>87918.113052727247</v>
      </c>
      <c r="Q19" s="245">
        <v>77716.093667475609</v>
      </c>
      <c r="R19" s="245">
        <v>95097.397193509009</v>
      </c>
      <c r="S19" s="245">
        <v>108245.76506165777</v>
      </c>
      <c r="T19" s="245">
        <v>81743.717596181057</v>
      </c>
      <c r="U19" s="245">
        <v>72851.137095365499</v>
      </c>
      <c r="V19" s="245">
        <v>69094.966341368767</v>
      </c>
      <c r="W19" s="245">
        <v>71171.779427032016</v>
      </c>
      <c r="X19" s="245">
        <v>80333.1660791584</v>
      </c>
      <c r="Y19" s="245">
        <v>71342.25173658914</v>
      </c>
      <c r="Z19" s="245">
        <v>81325.625904212633</v>
      </c>
      <c r="AA19" s="245">
        <v>72564.360952710427</v>
      </c>
      <c r="AB19" s="245">
        <v>41662.525687666275</v>
      </c>
      <c r="AC19" s="245">
        <v>42977.884134385306</v>
      </c>
      <c r="AD19" s="245">
        <v>46540.86496675908</v>
      </c>
      <c r="AE19" s="245">
        <v>48047.279991329226</v>
      </c>
      <c r="AF19" s="245">
        <v>49292.735039365194</v>
      </c>
      <c r="AG19" s="245">
        <v>45533.452718122178</v>
      </c>
      <c r="AH19" s="245">
        <v>0</v>
      </c>
      <c r="AI19" s="245">
        <v>0</v>
      </c>
      <c r="AJ19" s="245">
        <v>0</v>
      </c>
      <c r="AK19" s="245">
        <v>0</v>
      </c>
      <c r="AL19" s="245">
        <v>0</v>
      </c>
    </row>
    <row r="20" spans="2:73" ht="14">
      <c r="B20" s="23" t="s">
        <v>83</v>
      </c>
      <c r="C20" s="245">
        <v>15976.527734171521</v>
      </c>
      <c r="D20" s="245">
        <v>25160.840473879682</v>
      </c>
      <c r="E20" s="245">
        <v>28669.501196279682</v>
      </c>
      <c r="F20" s="245">
        <v>35652.914773422082</v>
      </c>
      <c r="G20" s="245">
        <v>37035.86913535872</v>
      </c>
      <c r="H20" s="245">
        <v>39845.448234051211</v>
      </c>
      <c r="I20" s="245">
        <v>45982.806209647359</v>
      </c>
      <c r="J20" s="245">
        <v>47489.501580248943</v>
      </c>
      <c r="K20" s="245">
        <v>49629.635489674249</v>
      </c>
      <c r="L20" s="245">
        <v>68207.268673896964</v>
      </c>
      <c r="M20" s="245">
        <v>84305.91141732609</v>
      </c>
      <c r="N20" s="245">
        <v>69176.659960851845</v>
      </c>
      <c r="O20" s="245">
        <v>51318.188956860809</v>
      </c>
      <c r="P20" s="245">
        <v>50305.644538940149</v>
      </c>
      <c r="Q20" s="245">
        <v>80303.044301055343</v>
      </c>
      <c r="R20" s="245">
        <v>145142.87278684095</v>
      </c>
      <c r="S20" s="245">
        <v>105066.24565006142</v>
      </c>
      <c r="T20" s="245">
        <v>108650.24025650304</v>
      </c>
      <c r="U20" s="245">
        <v>102997.46679285119</v>
      </c>
      <c r="V20" s="245">
        <v>91680.422254860809</v>
      </c>
      <c r="W20" s="245">
        <v>103662.46650376641</v>
      </c>
      <c r="X20" s="245">
        <v>103279.28408640319</v>
      </c>
      <c r="Y20" s="245">
        <v>98019.137188622059</v>
      </c>
      <c r="Z20" s="245">
        <v>100117.93590611713</v>
      </c>
      <c r="AA20" s="245">
        <v>103757.39626117761</v>
      </c>
      <c r="AB20" s="245">
        <v>111502.11652841985</v>
      </c>
      <c r="AC20" s="245">
        <v>113863.37405815873</v>
      </c>
      <c r="AD20" s="245">
        <v>114578.51724488576</v>
      </c>
      <c r="AE20" s="245">
        <v>112805.27822441983</v>
      </c>
      <c r="AF20" s="245">
        <v>114815.19967012417</v>
      </c>
      <c r="AG20" s="245">
        <v>67740.946550374414</v>
      </c>
      <c r="AH20" s="245">
        <v>0</v>
      </c>
      <c r="AI20" s="245">
        <v>0</v>
      </c>
      <c r="AJ20" s="245">
        <v>0</v>
      </c>
      <c r="AK20" s="245">
        <v>0</v>
      </c>
      <c r="AL20" s="245">
        <v>0</v>
      </c>
    </row>
    <row r="21" spans="2:73" ht="14">
      <c r="B21" s="23" t="s">
        <v>84</v>
      </c>
      <c r="C21" s="245">
        <v>30435.302728857085</v>
      </c>
      <c r="D21" s="245">
        <v>30588.591486079713</v>
      </c>
      <c r="E21" s="245">
        <v>31608.44418170234</v>
      </c>
      <c r="F21" s="245">
        <v>105188.73545456403</v>
      </c>
      <c r="G21" s="245">
        <v>65728.031582693511</v>
      </c>
      <c r="H21" s="245">
        <v>65128.947136633389</v>
      </c>
      <c r="I21" s="245">
        <v>65384.24808798814</v>
      </c>
      <c r="J21" s="245">
        <v>67739.842848481552</v>
      </c>
      <c r="K21" s="245">
        <v>91174.390661458994</v>
      </c>
      <c r="L21" s="245">
        <v>100801.97456794164</v>
      </c>
      <c r="M21" s="245">
        <v>106920.6583735626</v>
      </c>
      <c r="N21" s="245">
        <v>106640.89386181759</v>
      </c>
      <c r="O21" s="245">
        <v>109168.86477724643</v>
      </c>
      <c r="P21" s="245">
        <v>114006.83578522291</v>
      </c>
      <c r="Q21" s="245">
        <v>119693.37614192365</v>
      </c>
      <c r="R21" s="245">
        <v>121323.38903104531</v>
      </c>
      <c r="S21" s="245">
        <v>137709.70115514583</v>
      </c>
      <c r="T21" s="245">
        <v>43013.314401758907</v>
      </c>
      <c r="U21" s="245">
        <v>44437.490767981748</v>
      </c>
      <c r="V21" s="245">
        <v>44224.677853503665</v>
      </c>
      <c r="W21" s="245">
        <v>140847.74668268292</v>
      </c>
      <c r="X21" s="245">
        <v>126521.95143239333</v>
      </c>
      <c r="Y21" s="245">
        <v>152170.25138989254</v>
      </c>
      <c r="Z21" s="245">
        <v>127494.1475665663</v>
      </c>
      <c r="AA21" s="245">
        <v>130352.71199924816</v>
      </c>
      <c r="AB21" s="245">
        <v>118714.41215272792</v>
      </c>
      <c r="AC21" s="245">
        <v>119322.62839595067</v>
      </c>
      <c r="AD21" s="245">
        <v>120874.88430053803</v>
      </c>
      <c r="AE21" s="245">
        <v>122181.73689091647</v>
      </c>
      <c r="AF21" s="245">
        <v>123667.70719536989</v>
      </c>
      <c r="AG21" s="245">
        <v>116922.59505069675</v>
      </c>
      <c r="AH21" s="245">
        <v>0</v>
      </c>
      <c r="AI21" s="245">
        <v>0</v>
      </c>
      <c r="AJ21" s="245">
        <v>0</v>
      </c>
      <c r="AK21" s="245">
        <v>0</v>
      </c>
      <c r="AL21" s="245">
        <v>0</v>
      </c>
    </row>
    <row r="22" spans="2:73" ht="14">
      <c r="B22" s="145" t="s">
        <v>85</v>
      </c>
      <c r="C22" s="244">
        <v>22.136858715048604</v>
      </c>
      <c r="D22" s="244">
        <v>23.742880144236949</v>
      </c>
      <c r="E22" s="244">
        <v>22.955449617467384</v>
      </c>
      <c r="F22" s="244">
        <v>29.566834597798149</v>
      </c>
      <c r="G22" s="244">
        <v>29.158541809145255</v>
      </c>
      <c r="H22" s="244">
        <v>29.905402863960486</v>
      </c>
      <c r="I22" s="244">
        <v>38.412583419818553</v>
      </c>
      <c r="J22" s="244">
        <v>56.383762883131268</v>
      </c>
      <c r="K22" s="244">
        <v>92.129891877891239</v>
      </c>
      <c r="L22" s="244">
        <v>156.35634204858647</v>
      </c>
      <c r="M22" s="244">
        <v>262.6683289756312</v>
      </c>
      <c r="N22" s="244">
        <v>416.09842850594163</v>
      </c>
      <c r="O22" s="244">
        <v>601.51202675328545</v>
      </c>
      <c r="P22" s="244">
        <v>715.88459554446956</v>
      </c>
      <c r="Q22" s="244">
        <v>804.31711769145602</v>
      </c>
      <c r="R22" s="244">
        <v>898.32055549750555</v>
      </c>
      <c r="S22" s="244">
        <v>1005.7204787082833</v>
      </c>
      <c r="T22" s="244">
        <v>1069.259335268446</v>
      </c>
      <c r="U22" s="244">
        <v>1167.3445118506606</v>
      </c>
      <c r="V22" s="244">
        <v>1332.3905337982528</v>
      </c>
      <c r="W22" s="244">
        <v>1544.3728331612144</v>
      </c>
      <c r="X22" s="244">
        <v>1555.7322726101788</v>
      </c>
      <c r="Y22" s="244">
        <v>1534.9042328943794</v>
      </c>
      <c r="Z22" s="244">
        <v>1588.1000781124312</v>
      </c>
      <c r="AA22" s="244">
        <v>1589.2310519994053</v>
      </c>
      <c r="AB22" s="244">
        <v>1779.4080438496969</v>
      </c>
      <c r="AC22" s="244">
        <v>1660.3317895914511</v>
      </c>
      <c r="AD22" s="244">
        <v>1830.1521071385805</v>
      </c>
      <c r="AE22" s="244">
        <v>1857.9173515019845</v>
      </c>
      <c r="AF22" s="244">
        <v>1940.0091061271967</v>
      </c>
      <c r="AG22" s="244">
        <v>1795.0182857866682</v>
      </c>
      <c r="AH22" s="244">
        <v>0</v>
      </c>
      <c r="AI22" s="244">
        <v>0</v>
      </c>
      <c r="AJ22" s="244">
        <v>0</v>
      </c>
      <c r="AK22" s="244">
        <v>0</v>
      </c>
      <c r="AL22" s="244">
        <v>0</v>
      </c>
    </row>
    <row r="23" spans="2:73" ht="14">
      <c r="B23" s="23" t="s">
        <v>86</v>
      </c>
      <c r="C23" s="245">
        <v>3.8810645933049415</v>
      </c>
      <c r="D23" s="245">
        <v>3.9899763065103659</v>
      </c>
      <c r="E23" s="245">
        <v>3.5825684617695681</v>
      </c>
      <c r="F23" s="245">
        <v>4.6770015410220491</v>
      </c>
      <c r="G23" s="245">
        <v>4.5213149887630877</v>
      </c>
      <c r="H23" s="245">
        <v>4.4389856128164604</v>
      </c>
      <c r="I23" s="245">
        <v>5.0533411952293408</v>
      </c>
      <c r="J23" s="245">
        <v>6.1142368432701177</v>
      </c>
      <c r="K23" s="245">
        <v>7.9512037458809299</v>
      </c>
      <c r="L23" s="245">
        <v>10.642326519359735</v>
      </c>
      <c r="M23" s="245">
        <v>16.652534540798289</v>
      </c>
      <c r="N23" s="245">
        <v>24.009894859714343</v>
      </c>
      <c r="O23" s="245">
        <v>33.591132524374359</v>
      </c>
      <c r="P23" s="245">
        <v>39.496652321932942</v>
      </c>
      <c r="Q23" s="245">
        <v>29.427950935382206</v>
      </c>
      <c r="R23" s="245">
        <v>28.280274787459856</v>
      </c>
      <c r="S23" s="245">
        <v>24.694986625664178</v>
      </c>
      <c r="T23" s="245">
        <v>22.495211814767718</v>
      </c>
      <c r="U23" s="245">
        <v>16.707151585472712</v>
      </c>
      <c r="V23" s="245">
        <v>17.986183006106081</v>
      </c>
      <c r="W23" s="245">
        <v>21.26866975652295</v>
      </c>
      <c r="X23" s="245">
        <v>21.92040461485281</v>
      </c>
      <c r="Y23" s="245">
        <v>23.704261951335017</v>
      </c>
      <c r="Z23" s="245">
        <v>26.73559581204325</v>
      </c>
      <c r="AA23" s="245">
        <v>26.128316325315939</v>
      </c>
      <c r="AB23" s="245">
        <v>25.528409254715587</v>
      </c>
      <c r="AC23" s="245">
        <v>29.625356397719202</v>
      </c>
      <c r="AD23" s="245">
        <v>34.34363658190717</v>
      </c>
      <c r="AE23" s="245">
        <v>34.420404866266509</v>
      </c>
      <c r="AF23" s="245">
        <v>39.514325273268597</v>
      </c>
      <c r="AG23" s="245">
        <v>34.808585514146927</v>
      </c>
      <c r="AH23" s="245">
        <v>0</v>
      </c>
      <c r="AI23" s="245">
        <v>0</v>
      </c>
      <c r="AJ23" s="245">
        <v>0</v>
      </c>
      <c r="AK23" s="245">
        <v>0</v>
      </c>
      <c r="AL23" s="245">
        <v>0</v>
      </c>
    </row>
    <row r="24" spans="2:73" ht="14">
      <c r="B24" s="23" t="s">
        <v>87</v>
      </c>
      <c r="C24" s="245">
        <v>15.8165702100424</v>
      </c>
      <c r="D24" s="245">
        <v>16.108693352379508</v>
      </c>
      <c r="E24" s="245">
        <v>14.322076289414822</v>
      </c>
      <c r="F24" s="245">
        <v>18.525237330472535</v>
      </c>
      <c r="G24" s="245">
        <v>17.69436912855468</v>
      </c>
      <c r="H24" s="245">
        <v>16.902510187495029</v>
      </c>
      <c r="I24" s="245">
        <v>17.85969902440058</v>
      </c>
      <c r="J24" s="245">
        <v>18.653275339092353</v>
      </c>
      <c r="K24" s="245">
        <v>20.193465506898836</v>
      </c>
      <c r="L24" s="245">
        <v>19.90170454230346</v>
      </c>
      <c r="M24" s="245">
        <v>23.094933901437525</v>
      </c>
      <c r="N24" s="245">
        <v>27.399772558672087</v>
      </c>
      <c r="O24" s="245">
        <v>34.131498985540262</v>
      </c>
      <c r="P24" s="245">
        <v>38.340653522945246</v>
      </c>
      <c r="Q24" s="245">
        <v>21.261629901666321</v>
      </c>
      <c r="R24" s="245">
        <v>22.647571322390942</v>
      </c>
      <c r="S24" s="245">
        <v>17.294513014616538</v>
      </c>
      <c r="T24" s="245">
        <v>16.795425243523407</v>
      </c>
      <c r="U24" s="245">
        <v>17.077190917848743</v>
      </c>
      <c r="V24" s="245">
        <v>16.966798576382775</v>
      </c>
      <c r="W24" s="245">
        <v>18.735894754900642</v>
      </c>
      <c r="X24" s="245">
        <v>22.003182542049739</v>
      </c>
      <c r="Y24" s="245">
        <v>24.608987196627627</v>
      </c>
      <c r="Z24" s="245">
        <v>27.105399793636835</v>
      </c>
      <c r="AA24" s="245">
        <v>31.721889951157543</v>
      </c>
      <c r="AB24" s="245">
        <v>36.949059681099165</v>
      </c>
      <c r="AC24" s="245">
        <v>41.60470389577408</v>
      </c>
      <c r="AD24" s="245">
        <v>38.770577927167039</v>
      </c>
      <c r="AE24" s="245">
        <v>41.469987052666774</v>
      </c>
      <c r="AF24" s="245">
        <v>44.835891636613944</v>
      </c>
      <c r="AG24" s="245">
        <v>41.918295751561843</v>
      </c>
      <c r="AH24" s="245">
        <v>0</v>
      </c>
      <c r="AI24" s="245">
        <v>0</v>
      </c>
      <c r="AJ24" s="245">
        <v>0</v>
      </c>
      <c r="AK24" s="245">
        <v>0</v>
      </c>
      <c r="AL24" s="245">
        <v>0</v>
      </c>
    </row>
    <row r="25" spans="2:73" ht="14">
      <c r="B25" s="23" t="s">
        <v>88</v>
      </c>
      <c r="C25" s="245">
        <v>2.4392239117012657</v>
      </c>
      <c r="D25" s="245">
        <v>3.6442104853470738</v>
      </c>
      <c r="E25" s="245">
        <v>5.0508048662829941</v>
      </c>
      <c r="F25" s="245">
        <v>6.3645957263035617</v>
      </c>
      <c r="G25" s="245">
        <v>6.9428576918274842</v>
      </c>
      <c r="H25" s="245">
        <v>8.5639070636489958</v>
      </c>
      <c r="I25" s="245">
        <v>15.499543200188628</v>
      </c>
      <c r="J25" s="245">
        <v>31.616250700768791</v>
      </c>
      <c r="K25" s="245">
        <v>63.985222625111476</v>
      </c>
      <c r="L25" s="245">
        <v>125.81231098692326</v>
      </c>
      <c r="M25" s="245">
        <v>222.92086053339537</v>
      </c>
      <c r="N25" s="245">
        <v>364.68876108755518</v>
      </c>
      <c r="O25" s="245">
        <v>533.7893952433709</v>
      </c>
      <c r="P25" s="245">
        <v>638.04728969959126</v>
      </c>
      <c r="Q25" s="245">
        <v>753.62753685440748</v>
      </c>
      <c r="R25" s="245">
        <v>847.3927093876548</v>
      </c>
      <c r="S25" s="245">
        <v>963.73097906800251</v>
      </c>
      <c r="T25" s="245">
        <v>1029.9686982101548</v>
      </c>
      <c r="U25" s="245">
        <v>1133.5601693473391</v>
      </c>
      <c r="V25" s="245">
        <v>1297.4375522157638</v>
      </c>
      <c r="W25" s="245">
        <v>1504.3682686497909</v>
      </c>
      <c r="X25" s="245">
        <v>1511.8086854532762</v>
      </c>
      <c r="Y25" s="245">
        <v>1486.5909837464169</v>
      </c>
      <c r="Z25" s="245">
        <v>1534.2590825067512</v>
      </c>
      <c r="AA25" s="245">
        <v>1531.3808457229318</v>
      </c>
      <c r="AB25" s="245">
        <v>1716.9305749138821</v>
      </c>
      <c r="AC25" s="245">
        <v>1589.1017292979577</v>
      </c>
      <c r="AD25" s="245">
        <v>1757.0378926295064</v>
      </c>
      <c r="AE25" s="245">
        <v>1782.0269595830512</v>
      </c>
      <c r="AF25" s="245">
        <v>1855.658889217314</v>
      </c>
      <c r="AG25" s="245">
        <v>1718.2914045209595</v>
      </c>
      <c r="AH25" s="245">
        <v>0</v>
      </c>
      <c r="AI25" s="245">
        <v>0</v>
      </c>
      <c r="AJ25" s="245">
        <v>0</v>
      </c>
      <c r="AK25" s="245">
        <v>0</v>
      </c>
      <c r="AL25" s="245">
        <v>0</v>
      </c>
    </row>
    <row r="26" spans="2:73" ht="14.5" thickBot="1">
      <c r="B26" s="320" t="s">
        <v>89</v>
      </c>
      <c r="C26" s="367">
        <f>SUM(C79,C107)</f>
        <v>0</v>
      </c>
      <c r="D26" s="367">
        <f t="shared" ref="D26:AG26" si="0">SUM(D79,D107)</f>
        <v>0</v>
      </c>
      <c r="E26" s="367">
        <f t="shared" si="0"/>
        <v>0</v>
      </c>
      <c r="F26" s="367">
        <f t="shared" si="0"/>
        <v>0</v>
      </c>
      <c r="G26" s="367">
        <f t="shared" si="0"/>
        <v>0</v>
      </c>
      <c r="H26" s="367">
        <f t="shared" si="0"/>
        <v>0</v>
      </c>
      <c r="I26" s="367">
        <f t="shared" si="0"/>
        <v>0</v>
      </c>
      <c r="J26" s="367">
        <f t="shared" si="0"/>
        <v>0</v>
      </c>
      <c r="K26" s="367">
        <f t="shared" si="0"/>
        <v>0</v>
      </c>
      <c r="L26" s="367">
        <f t="shared" si="0"/>
        <v>0</v>
      </c>
      <c r="M26" s="367">
        <f t="shared" si="0"/>
        <v>0</v>
      </c>
      <c r="N26" s="367">
        <f t="shared" si="0"/>
        <v>0</v>
      </c>
      <c r="O26" s="367">
        <f t="shared" si="0"/>
        <v>0</v>
      </c>
      <c r="P26" s="367">
        <f t="shared" si="0"/>
        <v>0</v>
      </c>
      <c r="Q26" s="367">
        <f t="shared" si="0"/>
        <v>0</v>
      </c>
      <c r="R26" s="367">
        <f t="shared" si="0"/>
        <v>0</v>
      </c>
      <c r="S26" s="367">
        <f t="shared" si="0"/>
        <v>0</v>
      </c>
      <c r="T26" s="367">
        <f t="shared" si="0"/>
        <v>0</v>
      </c>
      <c r="U26" s="367">
        <f t="shared" si="0"/>
        <v>0</v>
      </c>
      <c r="V26" s="367">
        <f t="shared" si="0"/>
        <v>0</v>
      </c>
      <c r="W26" s="367">
        <f t="shared" si="0"/>
        <v>0</v>
      </c>
      <c r="X26" s="367">
        <f t="shared" si="0"/>
        <v>0</v>
      </c>
      <c r="Y26" s="367">
        <f t="shared" si="0"/>
        <v>0</v>
      </c>
      <c r="Z26" s="367">
        <f t="shared" si="0"/>
        <v>0</v>
      </c>
      <c r="AA26" s="367">
        <f t="shared" si="0"/>
        <v>0</v>
      </c>
      <c r="AB26" s="367">
        <f t="shared" si="0"/>
        <v>0</v>
      </c>
      <c r="AC26" s="367">
        <f t="shared" si="0"/>
        <v>0</v>
      </c>
      <c r="AD26" s="367">
        <f t="shared" si="0"/>
        <v>0</v>
      </c>
      <c r="AE26" s="367">
        <f t="shared" si="0"/>
        <v>0</v>
      </c>
      <c r="AF26" s="367">
        <f t="shared" si="0"/>
        <v>0</v>
      </c>
      <c r="AG26" s="367">
        <f t="shared" si="0"/>
        <v>0</v>
      </c>
      <c r="AH26" s="367">
        <f t="shared" ref="AH26:AL26" si="1">SUM(AH79,AH107)</f>
        <v>0</v>
      </c>
      <c r="AI26" s="367">
        <f t="shared" si="1"/>
        <v>0</v>
      </c>
      <c r="AJ26" s="367">
        <f t="shared" si="1"/>
        <v>0</v>
      </c>
      <c r="AK26" s="367">
        <f t="shared" si="1"/>
        <v>0</v>
      </c>
      <c r="AL26" s="367">
        <f t="shared" si="1"/>
        <v>0</v>
      </c>
    </row>
    <row r="27" spans="2:73" s="284" customFormat="1" ht="14">
      <c r="B27" s="243" t="s">
        <v>90</v>
      </c>
      <c r="C27" s="246">
        <f t="shared" ref="C27:AG27" si="2">C5+C10+C15+C22+C26</f>
        <v>1746568.392379707</v>
      </c>
      <c r="D27" s="246">
        <f t="shared" si="2"/>
        <v>1828475.4080390851</v>
      </c>
      <c r="E27" s="246">
        <f t="shared" si="2"/>
        <v>1919580.6209670911</v>
      </c>
      <c r="F27" s="246">
        <f t="shared" si="2"/>
        <v>2073731.7213477516</v>
      </c>
      <c r="G27" s="246">
        <f t="shared" si="2"/>
        <v>2095708.2419960571</v>
      </c>
      <c r="H27" s="246">
        <f t="shared" si="2"/>
        <v>2140210.870638764</v>
      </c>
      <c r="I27" s="246">
        <f t="shared" si="2"/>
        <v>2184915.9010033477</v>
      </c>
      <c r="J27" s="246">
        <f t="shared" si="2"/>
        <v>2203083.7180901766</v>
      </c>
      <c r="K27" s="246">
        <f t="shared" si="2"/>
        <v>2217938.0502122678</v>
      </c>
      <c r="L27" s="246">
        <f t="shared" si="2"/>
        <v>2088171.088059729</v>
      </c>
      <c r="M27" s="246">
        <f t="shared" si="2"/>
        <v>2026683.8511180806</v>
      </c>
      <c r="N27" s="246">
        <f t="shared" si="2"/>
        <v>1882859.3345025699</v>
      </c>
      <c r="O27" s="246">
        <f t="shared" si="2"/>
        <v>1808153.6312140501</v>
      </c>
      <c r="P27" s="246">
        <f t="shared" si="2"/>
        <v>1761973.2655656443</v>
      </c>
      <c r="Q27" s="246">
        <f t="shared" si="2"/>
        <v>1663160.8808700191</v>
      </c>
      <c r="R27" s="246">
        <f t="shared" si="2"/>
        <v>1617441.0562919192</v>
      </c>
      <c r="S27" s="246">
        <f t="shared" si="2"/>
        <v>1496337.1104116633</v>
      </c>
      <c r="T27" s="246">
        <f t="shared" si="2"/>
        <v>1297423.5992733364</v>
      </c>
      <c r="U27" s="246">
        <f t="shared" si="2"/>
        <v>1214650.8626006111</v>
      </c>
      <c r="V27" s="246">
        <f t="shared" si="2"/>
        <v>1072610.7279384311</v>
      </c>
      <c r="W27" s="246">
        <f t="shared" si="2"/>
        <v>1149463.2489246519</v>
      </c>
      <c r="X27" s="246">
        <f t="shared" si="2"/>
        <v>1090380.4118851488</v>
      </c>
      <c r="Y27" s="246">
        <f t="shared" si="2"/>
        <v>1034269.7747489627</v>
      </c>
      <c r="Z27" s="246">
        <f t="shared" si="2"/>
        <v>966834.68403674336</v>
      </c>
      <c r="AA27" s="246">
        <f t="shared" si="2"/>
        <v>912363.68821567867</v>
      </c>
      <c r="AB27" s="246">
        <f t="shared" si="2"/>
        <v>823974.67102343112</v>
      </c>
      <c r="AC27" s="246">
        <f t="shared" si="2"/>
        <v>795380.33656283154</v>
      </c>
      <c r="AD27" s="246">
        <f t="shared" si="2"/>
        <v>761517.702865534</v>
      </c>
      <c r="AE27" s="246">
        <f t="shared" si="2"/>
        <v>727467.18934743118</v>
      </c>
      <c r="AF27" s="246">
        <f t="shared" si="2"/>
        <v>742282.63915467309</v>
      </c>
      <c r="AG27" s="246">
        <f t="shared" si="2"/>
        <v>602109.18537664961</v>
      </c>
      <c r="AH27" s="246">
        <f t="shared" ref="AH27:AL27" si="3">AH5+AH10+AH15+AH22+AH26</f>
        <v>0</v>
      </c>
      <c r="AI27" s="246">
        <f t="shared" si="3"/>
        <v>0</v>
      </c>
      <c r="AJ27" s="246">
        <f t="shared" si="3"/>
        <v>0</v>
      </c>
      <c r="AK27" s="246">
        <f t="shared" si="3"/>
        <v>0</v>
      </c>
      <c r="AL27" s="246">
        <f t="shared" si="3"/>
        <v>0</v>
      </c>
    </row>
    <row r="28" spans="2:73" s="276" customFormat="1" ht="15.5">
      <c r="C28" s="283">
        <v>1</v>
      </c>
      <c r="D28" s="283">
        <f>IF(D$4&lt;=$B30,C28+1,0)</f>
        <v>2</v>
      </c>
      <c r="E28" s="283">
        <f t="shared" ref="E28:AL28" si="4">IF(E$4&lt;=$B30,D28+1,0)</f>
        <v>3</v>
      </c>
      <c r="F28" s="283">
        <f t="shared" si="4"/>
        <v>4</v>
      </c>
      <c r="G28" s="283">
        <f t="shared" si="4"/>
        <v>5</v>
      </c>
      <c r="H28" s="283">
        <f t="shared" si="4"/>
        <v>6</v>
      </c>
      <c r="I28" s="283">
        <f t="shared" si="4"/>
        <v>7</v>
      </c>
      <c r="J28" s="283">
        <f t="shared" si="4"/>
        <v>8</v>
      </c>
      <c r="K28" s="283">
        <f t="shared" si="4"/>
        <v>9</v>
      </c>
      <c r="L28" s="283">
        <f t="shared" si="4"/>
        <v>10</v>
      </c>
      <c r="M28" s="283">
        <f t="shared" si="4"/>
        <v>11</v>
      </c>
      <c r="N28" s="283">
        <f t="shared" si="4"/>
        <v>12</v>
      </c>
      <c r="O28" s="283">
        <f t="shared" si="4"/>
        <v>13</v>
      </c>
      <c r="P28" s="283">
        <f t="shared" si="4"/>
        <v>14</v>
      </c>
      <c r="Q28" s="283">
        <f t="shared" si="4"/>
        <v>15</v>
      </c>
      <c r="R28" s="283">
        <f t="shared" si="4"/>
        <v>16</v>
      </c>
      <c r="S28" s="283">
        <f t="shared" si="4"/>
        <v>17</v>
      </c>
      <c r="T28" s="283">
        <f t="shared" si="4"/>
        <v>18</v>
      </c>
      <c r="U28" s="283">
        <f t="shared" si="4"/>
        <v>19</v>
      </c>
      <c r="V28" s="283">
        <f t="shared" si="4"/>
        <v>20</v>
      </c>
      <c r="W28" s="283">
        <f t="shared" si="4"/>
        <v>21</v>
      </c>
      <c r="X28" s="283">
        <f t="shared" si="4"/>
        <v>22</v>
      </c>
      <c r="Y28" s="283">
        <f t="shared" si="4"/>
        <v>23</v>
      </c>
      <c r="Z28" s="283">
        <f t="shared" si="4"/>
        <v>24</v>
      </c>
      <c r="AA28" s="283">
        <f t="shared" si="4"/>
        <v>25</v>
      </c>
      <c r="AB28" s="283">
        <f t="shared" si="4"/>
        <v>26</v>
      </c>
      <c r="AC28" s="283">
        <f t="shared" si="4"/>
        <v>27</v>
      </c>
      <c r="AD28" s="283">
        <f t="shared" si="4"/>
        <v>28</v>
      </c>
      <c r="AE28" s="283">
        <f t="shared" si="4"/>
        <v>29</v>
      </c>
      <c r="AF28" s="283">
        <f t="shared" si="4"/>
        <v>30</v>
      </c>
      <c r="AG28" s="283">
        <f t="shared" si="4"/>
        <v>31</v>
      </c>
      <c r="AH28" s="283">
        <f t="shared" si="4"/>
        <v>0</v>
      </c>
      <c r="AI28" s="283">
        <f t="shared" si="4"/>
        <v>0</v>
      </c>
      <c r="AJ28" s="283">
        <f t="shared" si="4"/>
        <v>0</v>
      </c>
      <c r="AK28" s="283">
        <f t="shared" si="4"/>
        <v>0</v>
      </c>
      <c r="AL28" s="283">
        <f t="shared" si="4"/>
        <v>0</v>
      </c>
    </row>
    <row r="29" spans="2:73" s="121" customFormat="1" ht="15.5">
      <c r="B29" s="18" t="s">
        <v>91</v>
      </c>
    </row>
    <row r="30" spans="2:73" s="279" customFormat="1" ht="14">
      <c r="B30" s="276">
        <f>MAX(C30:AL30)</f>
        <v>2020</v>
      </c>
      <c r="C30" s="276">
        <v>1990</v>
      </c>
      <c r="D30" s="276">
        <f>IF(D27=0,0,D4)</f>
        <v>1991</v>
      </c>
      <c r="E30" s="276">
        <f t="shared" ref="E30:AL30" si="5">IF(E27=0,0,E4)</f>
        <v>1992</v>
      </c>
      <c r="F30" s="276">
        <f t="shared" si="5"/>
        <v>1993</v>
      </c>
      <c r="G30" s="276">
        <f t="shared" si="5"/>
        <v>1994</v>
      </c>
      <c r="H30" s="276">
        <f t="shared" si="5"/>
        <v>1995</v>
      </c>
      <c r="I30" s="276">
        <f t="shared" si="5"/>
        <v>1996</v>
      </c>
      <c r="J30" s="276">
        <f t="shared" si="5"/>
        <v>1997</v>
      </c>
      <c r="K30" s="276">
        <f t="shared" si="5"/>
        <v>1998</v>
      </c>
      <c r="L30" s="276">
        <f t="shared" si="5"/>
        <v>1999</v>
      </c>
      <c r="M30" s="276">
        <f t="shared" si="5"/>
        <v>2000</v>
      </c>
      <c r="N30" s="276">
        <f t="shared" si="5"/>
        <v>2001</v>
      </c>
      <c r="O30" s="276">
        <f t="shared" si="5"/>
        <v>2002</v>
      </c>
      <c r="P30" s="276">
        <f t="shared" si="5"/>
        <v>2003</v>
      </c>
      <c r="Q30" s="276">
        <f t="shared" si="5"/>
        <v>2004</v>
      </c>
      <c r="R30" s="276">
        <f t="shared" si="5"/>
        <v>2005</v>
      </c>
      <c r="S30" s="276">
        <f t="shared" si="5"/>
        <v>2006</v>
      </c>
      <c r="T30" s="276">
        <f t="shared" si="5"/>
        <v>2007</v>
      </c>
      <c r="U30" s="276">
        <f t="shared" si="5"/>
        <v>2008</v>
      </c>
      <c r="V30" s="276">
        <f t="shared" si="5"/>
        <v>2009</v>
      </c>
      <c r="W30" s="276">
        <f t="shared" si="5"/>
        <v>2010</v>
      </c>
      <c r="X30" s="276">
        <f t="shared" si="5"/>
        <v>2011</v>
      </c>
      <c r="Y30" s="276">
        <f t="shared" si="5"/>
        <v>2012</v>
      </c>
      <c r="Z30" s="276">
        <f t="shared" si="5"/>
        <v>2013</v>
      </c>
      <c r="AA30" s="276">
        <f t="shared" si="5"/>
        <v>2014</v>
      </c>
      <c r="AB30" s="276">
        <f t="shared" si="5"/>
        <v>2015</v>
      </c>
      <c r="AC30" s="276">
        <f t="shared" si="5"/>
        <v>2016</v>
      </c>
      <c r="AD30" s="276">
        <f t="shared" si="5"/>
        <v>2017</v>
      </c>
      <c r="AE30" s="276">
        <f t="shared" si="5"/>
        <v>2018</v>
      </c>
      <c r="AF30" s="276">
        <f t="shared" si="5"/>
        <v>2019</v>
      </c>
      <c r="AG30" s="276">
        <f t="shared" si="5"/>
        <v>2020</v>
      </c>
      <c r="AH30" s="276">
        <f t="shared" si="5"/>
        <v>0</v>
      </c>
      <c r="AI30" s="276">
        <f t="shared" si="5"/>
        <v>0</v>
      </c>
      <c r="AJ30" s="276">
        <f t="shared" si="5"/>
        <v>0</v>
      </c>
      <c r="AK30" s="276">
        <f t="shared" si="5"/>
        <v>0</v>
      </c>
      <c r="AL30" s="276">
        <f t="shared" si="5"/>
        <v>0</v>
      </c>
    </row>
    <row r="31" spans="2:73" ht="16.5" hidden="1">
      <c r="B31" s="241" t="s">
        <v>92</v>
      </c>
      <c r="C31" s="18"/>
      <c r="D31" s="18"/>
      <c r="E31" s="18"/>
      <c r="F31" s="18"/>
      <c r="G31" s="18"/>
      <c r="H31" s="18"/>
      <c r="I31" s="18"/>
      <c r="J31" s="18"/>
      <c r="K31" s="242"/>
      <c r="L31" s="18"/>
      <c r="M31" s="18"/>
      <c r="N31" s="18"/>
      <c r="O31" s="18"/>
      <c r="P31" s="18"/>
      <c r="Q31" s="18"/>
      <c r="R31" s="18"/>
      <c r="S31" s="121"/>
      <c r="T31" s="121"/>
      <c r="U31" s="121"/>
      <c r="V31" s="121"/>
      <c r="W31" s="121"/>
      <c r="X31" s="121"/>
      <c r="Y31" s="121"/>
      <c r="Z31" s="121"/>
      <c r="AA31" s="121"/>
      <c r="AB31" s="121"/>
      <c r="AC31" s="121"/>
      <c r="AD31" s="121"/>
      <c r="AE31" s="121"/>
      <c r="AF31" s="121"/>
      <c r="AG31" s="121"/>
      <c r="AH31" s="121"/>
      <c r="AI31" s="121"/>
      <c r="AJ31" s="121"/>
      <c r="AK31" s="121"/>
      <c r="AL31" s="121"/>
    </row>
    <row r="32" spans="2:73" ht="14" hidden="1">
      <c r="B32" s="243" t="s">
        <v>71</v>
      </c>
      <c r="C32" s="243">
        <v>1990</v>
      </c>
      <c r="D32" s="243">
        <v>1991</v>
      </c>
      <c r="E32" s="243">
        <v>1992</v>
      </c>
      <c r="F32" s="243">
        <v>1993</v>
      </c>
      <c r="G32" s="243">
        <v>1994</v>
      </c>
      <c r="H32" s="243">
        <v>1995</v>
      </c>
      <c r="I32" s="243">
        <v>1996</v>
      </c>
      <c r="J32" s="243">
        <v>1997</v>
      </c>
      <c r="K32" s="243">
        <v>1998</v>
      </c>
      <c r="L32" s="243">
        <v>1999</v>
      </c>
      <c r="M32" s="243">
        <v>2000</v>
      </c>
      <c r="N32" s="243">
        <v>2001</v>
      </c>
      <c r="O32" s="243">
        <v>2002</v>
      </c>
      <c r="P32" s="243">
        <v>2003</v>
      </c>
      <c r="Q32" s="243">
        <v>2004</v>
      </c>
      <c r="R32" s="243">
        <v>2005</v>
      </c>
      <c r="S32" s="243">
        <v>2006</v>
      </c>
      <c r="T32" s="243">
        <v>2007</v>
      </c>
      <c r="U32" s="243">
        <v>2008</v>
      </c>
      <c r="V32" s="243">
        <v>2009</v>
      </c>
      <c r="W32" s="243">
        <v>2010</v>
      </c>
      <c r="X32" s="243">
        <v>2011</v>
      </c>
      <c r="Y32" s="243">
        <v>2012</v>
      </c>
      <c r="Z32" s="243">
        <v>2013</v>
      </c>
      <c r="AA32" s="243">
        <v>2014</v>
      </c>
      <c r="AB32" s="243">
        <v>2015</v>
      </c>
      <c r="AC32" s="243">
        <v>2016</v>
      </c>
      <c r="AD32" s="243">
        <v>2017</v>
      </c>
      <c r="AE32" s="243">
        <v>2018</v>
      </c>
      <c r="AF32" s="243">
        <v>2019</v>
      </c>
      <c r="AG32" s="243">
        <v>2020</v>
      </c>
      <c r="AH32" s="243">
        <v>2021</v>
      </c>
      <c r="AI32" s="243">
        <v>2022</v>
      </c>
      <c r="AJ32" s="243">
        <v>2023</v>
      </c>
      <c r="AK32" s="243">
        <v>2024</v>
      </c>
      <c r="AL32" s="243">
        <v>2025</v>
      </c>
    </row>
    <row r="33" spans="2:38" ht="14" hidden="1">
      <c r="B33" s="145" t="s">
        <v>72</v>
      </c>
      <c r="C33" s="244">
        <f t="shared" ref="C33:AG33" si="6">C5*C_CO2</f>
        <v>418576.9212458547</v>
      </c>
      <c r="D33" s="244">
        <f t="shared" si="6"/>
        <v>442863.79751445033</v>
      </c>
      <c r="E33" s="244">
        <f t="shared" si="6"/>
        <v>464167.20587209734</v>
      </c>
      <c r="F33" s="244">
        <f t="shared" si="6"/>
        <v>484015.80251929298</v>
      </c>
      <c r="G33" s="244">
        <f t="shared" si="6"/>
        <v>500113.57282770186</v>
      </c>
      <c r="H33" s="244">
        <f t="shared" si="6"/>
        <v>509705.36894453398</v>
      </c>
      <c r="I33" s="244">
        <f t="shared" si="6"/>
        <v>520075.02273271105</v>
      </c>
      <c r="J33" s="244">
        <f t="shared" si="6"/>
        <v>525415.25687726762</v>
      </c>
      <c r="K33" s="244">
        <f t="shared" si="6"/>
        <v>524544.99976382707</v>
      </c>
      <c r="L33" s="244">
        <f t="shared" si="6"/>
        <v>485976.03286861477</v>
      </c>
      <c r="M33" s="244">
        <f t="shared" si="6"/>
        <v>462250.1536158268</v>
      </c>
      <c r="N33" s="244">
        <f t="shared" si="6"/>
        <v>427004.88789130899</v>
      </c>
      <c r="O33" s="244">
        <f t="shared" si="6"/>
        <v>406500.77079821657</v>
      </c>
      <c r="P33" s="244">
        <f t="shared" si="6"/>
        <v>385005.13831754448</v>
      </c>
      <c r="Q33" s="244">
        <f t="shared" si="6"/>
        <v>355450.24661063758</v>
      </c>
      <c r="R33" s="244">
        <f t="shared" si="6"/>
        <v>318929.46863308048</v>
      </c>
      <c r="S33" s="244">
        <f t="shared" si="6"/>
        <v>284216.63964825752</v>
      </c>
      <c r="T33" s="244">
        <f t="shared" si="6"/>
        <v>261706.17192493376</v>
      </c>
      <c r="U33" s="244">
        <f t="shared" si="6"/>
        <v>238699.33962277588</v>
      </c>
      <c r="V33" s="244">
        <f t="shared" si="6"/>
        <v>208333.60644050926</v>
      </c>
      <c r="W33" s="244">
        <f t="shared" si="6"/>
        <v>195316.7266243028</v>
      </c>
      <c r="X33" s="244">
        <f t="shared" si="6"/>
        <v>179758.0602232966</v>
      </c>
      <c r="Y33" s="244">
        <f t="shared" si="6"/>
        <v>158225.60792461174</v>
      </c>
      <c r="Z33" s="244">
        <f t="shared" si="6"/>
        <v>139350.66189244014</v>
      </c>
      <c r="AA33" s="244">
        <f t="shared" si="6"/>
        <v>119766.57932446818</v>
      </c>
      <c r="AB33" s="244">
        <f t="shared" si="6"/>
        <v>102942.07422098868</v>
      </c>
      <c r="AC33" s="244">
        <f t="shared" si="6"/>
        <v>93418.488404274249</v>
      </c>
      <c r="AD33" s="244">
        <f t="shared" si="6"/>
        <v>79567.405996390939</v>
      </c>
      <c r="AE33" s="244">
        <f t="shared" si="6"/>
        <v>66178.621079037723</v>
      </c>
      <c r="AF33" s="244">
        <f t="shared" si="6"/>
        <v>71229.459646102041</v>
      </c>
      <c r="AG33" s="244">
        <f t="shared" si="6"/>
        <v>50668.911530643221</v>
      </c>
      <c r="AH33" s="244">
        <f t="shared" ref="AH33:AL33" si="7">AH5*C_CO2</f>
        <v>0</v>
      </c>
      <c r="AI33" s="244">
        <f t="shared" si="7"/>
        <v>0</v>
      </c>
      <c r="AJ33" s="244">
        <f t="shared" si="7"/>
        <v>0</v>
      </c>
      <c r="AK33" s="244">
        <f t="shared" si="7"/>
        <v>0</v>
      </c>
      <c r="AL33" s="244">
        <f t="shared" si="7"/>
        <v>0</v>
      </c>
    </row>
    <row r="34" spans="2:38" ht="14" hidden="1">
      <c r="B34" s="23" t="s">
        <v>73</v>
      </c>
      <c r="C34" s="245">
        <f t="shared" ref="C34:AG34" si="8">C6*C_CO2</f>
        <v>267651.81175400532</v>
      </c>
      <c r="D34" s="245">
        <f t="shared" si="8"/>
        <v>264722.44622787158</v>
      </c>
      <c r="E34" s="245">
        <f t="shared" si="8"/>
        <v>267590.76248239761</v>
      </c>
      <c r="F34" s="245">
        <f t="shared" si="8"/>
        <v>271758.91980824532</v>
      </c>
      <c r="G34" s="245">
        <f t="shared" si="8"/>
        <v>278811.70325368375</v>
      </c>
      <c r="H34" s="245">
        <f t="shared" si="8"/>
        <v>281641.99898919283</v>
      </c>
      <c r="I34" s="245">
        <f t="shared" si="8"/>
        <v>284496.95155563869</v>
      </c>
      <c r="J34" s="245">
        <f t="shared" si="8"/>
        <v>282707.92226324719</v>
      </c>
      <c r="K34" s="245">
        <f t="shared" si="8"/>
        <v>280236.36469047365</v>
      </c>
      <c r="L34" s="245">
        <f t="shared" si="8"/>
        <v>253497.98241782986</v>
      </c>
      <c r="M34" s="245">
        <f t="shared" si="8"/>
        <v>239027.47436533909</v>
      </c>
      <c r="N34" s="245">
        <f t="shared" si="8"/>
        <v>221553.92648448184</v>
      </c>
      <c r="O34" s="245">
        <f t="shared" si="8"/>
        <v>209026.6666578197</v>
      </c>
      <c r="P34" s="245">
        <f t="shared" si="8"/>
        <v>194171.97144214687</v>
      </c>
      <c r="Q34" s="245">
        <f t="shared" si="8"/>
        <v>183215.04824297209</v>
      </c>
      <c r="R34" s="245">
        <f t="shared" si="8"/>
        <v>165418.13891725344</v>
      </c>
      <c r="S34" s="245">
        <f t="shared" si="8"/>
        <v>147286.66068951372</v>
      </c>
      <c r="T34" s="245">
        <f t="shared" si="8"/>
        <v>134798.29135977259</v>
      </c>
      <c r="U34" s="245">
        <f t="shared" si="8"/>
        <v>121982.37028425861</v>
      </c>
      <c r="V34" s="245">
        <f t="shared" si="8"/>
        <v>144184.22630404989</v>
      </c>
      <c r="W34" s="245">
        <f t="shared" si="8"/>
        <v>134796.13631059043</v>
      </c>
      <c r="X34" s="245">
        <f t="shared" si="8"/>
        <v>125923.33704516914</v>
      </c>
      <c r="Y34" s="245">
        <f t="shared" si="8"/>
        <v>111590.25700150082</v>
      </c>
      <c r="Z34" s="245">
        <f t="shared" si="8"/>
        <v>98592.777226157152</v>
      </c>
      <c r="AA34" s="245">
        <f t="shared" si="8"/>
        <v>83598.764076724488</v>
      </c>
      <c r="AB34" s="245">
        <f t="shared" si="8"/>
        <v>73204.867796989667</v>
      </c>
      <c r="AC34" s="245">
        <f t="shared" si="8"/>
        <v>64149.010325017574</v>
      </c>
      <c r="AD34" s="245">
        <f t="shared" si="8"/>
        <v>54733.254720948942</v>
      </c>
      <c r="AE34" s="245">
        <f t="shared" si="8"/>
        <v>46882.247593495653</v>
      </c>
      <c r="AF34" s="245">
        <f t="shared" si="8"/>
        <v>47748.072402557729</v>
      </c>
      <c r="AG34" s="245">
        <f t="shared" si="8"/>
        <v>31483.896509517268</v>
      </c>
      <c r="AH34" s="245">
        <f t="shared" ref="AH34:AL34" si="9">AH6*C_CO2</f>
        <v>0</v>
      </c>
      <c r="AI34" s="245">
        <f t="shared" si="9"/>
        <v>0</v>
      </c>
      <c r="AJ34" s="245">
        <f t="shared" si="9"/>
        <v>0</v>
      </c>
      <c r="AK34" s="245">
        <f t="shared" si="9"/>
        <v>0</v>
      </c>
      <c r="AL34" s="245">
        <f t="shared" si="9"/>
        <v>0</v>
      </c>
    </row>
    <row r="35" spans="2:38" ht="14" hidden="1">
      <c r="B35" s="23" t="s">
        <v>74</v>
      </c>
      <c r="C35" s="245">
        <f t="shared" ref="C35:AG35" si="10">C7*C_CO2</f>
        <v>141537.45453873847</v>
      </c>
      <c r="D35" s="245">
        <f t="shared" si="10"/>
        <v>167580.61054637833</v>
      </c>
      <c r="E35" s="245">
        <f t="shared" si="10"/>
        <v>185922.46421026325</v>
      </c>
      <c r="F35" s="245">
        <f t="shared" si="10"/>
        <v>201681.67229128722</v>
      </c>
      <c r="G35" s="245">
        <f t="shared" si="10"/>
        <v>210289.80664473766</v>
      </c>
      <c r="H35" s="245">
        <f t="shared" si="10"/>
        <v>216822.4384398073</v>
      </c>
      <c r="I35" s="245">
        <f t="shared" si="10"/>
        <v>223942.5394338746</v>
      </c>
      <c r="J35" s="245">
        <f t="shared" si="10"/>
        <v>230582.05095493791</v>
      </c>
      <c r="K35" s="245">
        <f t="shared" si="10"/>
        <v>231514.07917076544</v>
      </c>
      <c r="L35" s="245">
        <f t="shared" si="10"/>
        <v>219510.12959295511</v>
      </c>
      <c r="M35" s="245">
        <f t="shared" si="10"/>
        <v>210491.63679693101</v>
      </c>
      <c r="N35" s="245">
        <f t="shared" si="10"/>
        <v>193624.88110413484</v>
      </c>
      <c r="O35" s="245">
        <f t="shared" si="10"/>
        <v>184942.84162238846</v>
      </c>
      <c r="P35" s="245">
        <f t="shared" si="10"/>
        <v>178012.68713412809</v>
      </c>
      <c r="Q35" s="245">
        <f t="shared" si="10"/>
        <v>159812.91109747751</v>
      </c>
      <c r="R35" s="245">
        <f t="shared" si="10"/>
        <v>142361.39043986748</v>
      </c>
      <c r="S35" s="245">
        <f t="shared" si="10"/>
        <v>133636.43417903091</v>
      </c>
      <c r="T35" s="245">
        <f t="shared" si="10"/>
        <v>123839.29701729555</v>
      </c>
      <c r="U35" s="245">
        <f t="shared" si="10"/>
        <v>113841.81353582218</v>
      </c>
      <c r="V35" s="245">
        <f t="shared" si="10"/>
        <v>60157.713913071202</v>
      </c>
      <c r="W35" s="245">
        <f t="shared" si="10"/>
        <v>57143.630750585355</v>
      </c>
      <c r="X35" s="245">
        <f t="shared" si="10"/>
        <v>50980.916652452244</v>
      </c>
      <c r="Y35" s="245">
        <f t="shared" si="10"/>
        <v>44020.401856177552</v>
      </c>
      <c r="Z35" s="245">
        <f t="shared" si="10"/>
        <v>38465.412806738386</v>
      </c>
      <c r="AA35" s="245">
        <f t="shared" si="10"/>
        <v>34232.040206983816</v>
      </c>
      <c r="AB35" s="245">
        <f t="shared" si="10"/>
        <v>28151.430727686733</v>
      </c>
      <c r="AC35" s="245">
        <f t="shared" si="10"/>
        <v>24946.342614932793</v>
      </c>
      <c r="AD35" s="245">
        <f t="shared" si="10"/>
        <v>21060.853716388665</v>
      </c>
      <c r="AE35" s="245">
        <f t="shared" si="10"/>
        <v>16063.972822969139</v>
      </c>
      <c r="AF35" s="245">
        <f t="shared" si="10"/>
        <v>20250.016943103852</v>
      </c>
      <c r="AG35" s="245">
        <f t="shared" si="10"/>
        <v>16851.60787457287</v>
      </c>
      <c r="AH35" s="245">
        <f t="shared" ref="AH35:AL35" si="11">AH7*C_CO2</f>
        <v>0</v>
      </c>
      <c r="AI35" s="245">
        <f t="shared" si="11"/>
        <v>0</v>
      </c>
      <c r="AJ35" s="245">
        <f t="shared" si="11"/>
        <v>0</v>
      </c>
      <c r="AK35" s="245">
        <f t="shared" si="11"/>
        <v>0</v>
      </c>
      <c r="AL35" s="245">
        <f t="shared" si="11"/>
        <v>0</v>
      </c>
    </row>
    <row r="36" spans="2:38" ht="14" hidden="1">
      <c r="B36" s="23" t="s">
        <v>75</v>
      </c>
      <c r="C36" s="245">
        <f t="shared" ref="C36:AG36" si="12">C8*C_CO2</f>
        <v>8943.6527582563667</v>
      </c>
      <c r="D36" s="245">
        <f t="shared" si="12"/>
        <v>10105.571091480528</v>
      </c>
      <c r="E36" s="245">
        <f t="shared" si="12"/>
        <v>10187.024030740395</v>
      </c>
      <c r="F36" s="245">
        <f t="shared" si="12"/>
        <v>10097.391660000241</v>
      </c>
      <c r="G36" s="245">
        <f t="shared" si="12"/>
        <v>10520.704586643686</v>
      </c>
      <c r="H36" s="245">
        <f t="shared" si="12"/>
        <v>10742.825617523022</v>
      </c>
      <c r="I36" s="245">
        <f t="shared" si="12"/>
        <v>11168.63618207449</v>
      </c>
      <c r="J36" s="245">
        <f t="shared" si="12"/>
        <v>11678.553705311035</v>
      </c>
      <c r="K36" s="245">
        <f t="shared" si="12"/>
        <v>12356.970896117962</v>
      </c>
      <c r="L36" s="245">
        <f t="shared" si="12"/>
        <v>12504.979703124132</v>
      </c>
      <c r="M36" s="245">
        <f t="shared" si="12"/>
        <v>12291.832684955789</v>
      </c>
      <c r="N36" s="245">
        <f t="shared" si="12"/>
        <v>11434.426566349326</v>
      </c>
      <c r="O36" s="245">
        <f t="shared" si="12"/>
        <v>12147.408605639812</v>
      </c>
      <c r="P36" s="245">
        <f t="shared" si="12"/>
        <v>12443.381121645891</v>
      </c>
      <c r="Q36" s="245">
        <f t="shared" si="12"/>
        <v>12030.041112102075</v>
      </c>
      <c r="R36" s="245">
        <f t="shared" si="12"/>
        <v>10764.355138149287</v>
      </c>
      <c r="S36" s="245">
        <f t="shared" si="12"/>
        <v>2988.6204639218799</v>
      </c>
      <c r="T36" s="245">
        <f t="shared" si="12"/>
        <v>2814.8676042142583</v>
      </c>
      <c r="U36" s="245">
        <f t="shared" si="12"/>
        <v>2659.7779213529197</v>
      </c>
      <c r="V36" s="245">
        <f t="shared" si="12"/>
        <v>3702.286700432529</v>
      </c>
      <c r="W36" s="245">
        <f t="shared" si="12"/>
        <v>3143.0754021461362</v>
      </c>
      <c r="X36" s="245">
        <f t="shared" si="12"/>
        <v>2641.5352993231418</v>
      </c>
      <c r="Y36" s="245">
        <f t="shared" si="12"/>
        <v>2400.0570778958959</v>
      </c>
      <c r="Z36" s="245">
        <f t="shared" si="12"/>
        <v>2111.6720743392125</v>
      </c>
      <c r="AA36" s="245">
        <f t="shared" si="12"/>
        <v>1783.8764451681186</v>
      </c>
      <c r="AB36" s="245">
        <f t="shared" si="12"/>
        <v>1458.0035158343087</v>
      </c>
      <c r="AC36" s="245">
        <f t="shared" si="12"/>
        <v>4207.49721437265</v>
      </c>
      <c r="AD36" s="245">
        <f t="shared" si="12"/>
        <v>3671.6609267793447</v>
      </c>
      <c r="AE36" s="245">
        <f t="shared" si="12"/>
        <v>3145.4793644756287</v>
      </c>
      <c r="AF36" s="245">
        <f t="shared" si="12"/>
        <v>3113.1844057120611</v>
      </c>
      <c r="AG36" s="245">
        <f t="shared" si="12"/>
        <v>2250.3021975230322</v>
      </c>
      <c r="AH36" s="245">
        <f t="shared" ref="AH36:AL36" si="13">AH8*C_CO2</f>
        <v>0</v>
      </c>
      <c r="AI36" s="245">
        <f t="shared" si="13"/>
        <v>0</v>
      </c>
      <c r="AJ36" s="245">
        <f t="shared" si="13"/>
        <v>0</v>
      </c>
      <c r="AK36" s="245">
        <f t="shared" si="13"/>
        <v>0</v>
      </c>
      <c r="AL36" s="245">
        <f t="shared" si="13"/>
        <v>0</v>
      </c>
    </row>
    <row r="37" spans="2:38" ht="14" hidden="1">
      <c r="B37" s="23" t="s">
        <v>76</v>
      </c>
      <c r="C37" s="245">
        <f t="shared" ref="C37:AG37" si="14">C9*C_CO2</f>
        <v>444.00219485455779</v>
      </c>
      <c r="D37" s="245">
        <f t="shared" si="14"/>
        <v>455.16964871990876</v>
      </c>
      <c r="E37" s="245">
        <f t="shared" si="14"/>
        <v>466.95514869612839</v>
      </c>
      <c r="F37" s="245">
        <f t="shared" si="14"/>
        <v>477.81875976020785</v>
      </c>
      <c r="G37" s="245">
        <f t="shared" si="14"/>
        <v>491.35834263680658</v>
      </c>
      <c r="H37" s="245">
        <f t="shared" si="14"/>
        <v>498.10589801080408</v>
      </c>
      <c r="I37" s="245">
        <f t="shared" si="14"/>
        <v>466.89556112319292</v>
      </c>
      <c r="J37" s="245">
        <f t="shared" si="14"/>
        <v>446.72995377147447</v>
      </c>
      <c r="K37" s="245">
        <f t="shared" si="14"/>
        <v>437.58500646997447</v>
      </c>
      <c r="L37" s="245">
        <f t="shared" si="14"/>
        <v>462.94115470568443</v>
      </c>
      <c r="M37" s="245">
        <f t="shared" si="14"/>
        <v>439.20976860094891</v>
      </c>
      <c r="N37" s="245">
        <f t="shared" si="14"/>
        <v>391.6537363429552</v>
      </c>
      <c r="O37" s="245">
        <f t="shared" si="14"/>
        <v>383.85391236867514</v>
      </c>
      <c r="P37" s="245">
        <f t="shared" si="14"/>
        <v>377.09861962358559</v>
      </c>
      <c r="Q37" s="245">
        <f t="shared" si="14"/>
        <v>392.24615808590886</v>
      </c>
      <c r="R37" s="245">
        <f t="shared" si="14"/>
        <v>385.58413781030606</v>
      </c>
      <c r="S37" s="245">
        <f t="shared" si="14"/>
        <v>304.92431579105642</v>
      </c>
      <c r="T37" s="245">
        <f t="shared" si="14"/>
        <v>253.7159436513293</v>
      </c>
      <c r="U37" s="245">
        <f t="shared" si="14"/>
        <v>215.37788134220665</v>
      </c>
      <c r="V37" s="245">
        <f t="shared" si="14"/>
        <v>289.37952295562576</v>
      </c>
      <c r="W37" s="245">
        <f t="shared" si="14"/>
        <v>233.88416098087771</v>
      </c>
      <c r="X37" s="245">
        <f t="shared" si="14"/>
        <v>212.27122635205018</v>
      </c>
      <c r="Y37" s="245">
        <f t="shared" si="14"/>
        <v>214.89198903743545</v>
      </c>
      <c r="Z37" s="245">
        <f t="shared" si="14"/>
        <v>180.79978520539245</v>
      </c>
      <c r="AA37" s="245">
        <f t="shared" si="14"/>
        <v>151.8985955917602</v>
      </c>
      <c r="AB37" s="245">
        <f t="shared" si="14"/>
        <v>127.77218047798041</v>
      </c>
      <c r="AC37" s="245">
        <f t="shared" si="14"/>
        <v>115.63824995124611</v>
      </c>
      <c r="AD37" s="245">
        <f t="shared" si="14"/>
        <v>101.63663227399419</v>
      </c>
      <c r="AE37" s="245">
        <f t="shared" si="14"/>
        <v>86.921298097302184</v>
      </c>
      <c r="AF37" s="245">
        <f t="shared" si="14"/>
        <v>118.18589472841103</v>
      </c>
      <c r="AG37" s="245">
        <f t="shared" si="14"/>
        <v>83.104949030055451</v>
      </c>
      <c r="AH37" s="245">
        <f t="shared" ref="AH37:AL37" si="15">AH9*C_CO2</f>
        <v>0</v>
      </c>
      <c r="AI37" s="245">
        <f t="shared" si="15"/>
        <v>0</v>
      </c>
      <c r="AJ37" s="245">
        <f t="shared" si="15"/>
        <v>0</v>
      </c>
      <c r="AK37" s="245">
        <f t="shared" si="15"/>
        <v>0</v>
      </c>
      <c r="AL37" s="245">
        <f t="shared" si="15"/>
        <v>0</v>
      </c>
    </row>
    <row r="38" spans="2:38" ht="14" hidden="1">
      <c r="B38" s="145" t="s">
        <v>77</v>
      </c>
      <c r="C38" s="244">
        <f t="shared" ref="C38:AG38" si="16">C10*C_CO2</f>
        <v>1941.1897121117872</v>
      </c>
      <c r="D38" s="244">
        <f t="shared" si="16"/>
        <v>1992.6696940749005</v>
      </c>
      <c r="E38" s="244">
        <f t="shared" si="16"/>
        <v>2093.0030651867305</v>
      </c>
      <c r="F38" s="244">
        <f t="shared" si="16"/>
        <v>2137.4831856893147</v>
      </c>
      <c r="G38" s="244">
        <f t="shared" si="16"/>
        <v>2325.9291260439313</v>
      </c>
      <c r="H38" s="244">
        <f t="shared" si="16"/>
        <v>2451.8082513605968</v>
      </c>
      <c r="I38" s="244">
        <f t="shared" si="16"/>
        <v>2525.4214223866456</v>
      </c>
      <c r="J38" s="244">
        <f t="shared" si="16"/>
        <v>2662.3230868785186</v>
      </c>
      <c r="K38" s="244">
        <f t="shared" si="16"/>
        <v>2729.4879020631092</v>
      </c>
      <c r="L38" s="244">
        <f t="shared" si="16"/>
        <v>2813.3606771308432</v>
      </c>
      <c r="M38" s="244">
        <f t="shared" si="16"/>
        <v>2814.1413810520548</v>
      </c>
      <c r="N38" s="244">
        <f t="shared" si="16"/>
        <v>2908.2442988711246</v>
      </c>
      <c r="O38" s="244">
        <f t="shared" si="16"/>
        <v>2975.0351745262701</v>
      </c>
      <c r="P38" s="244">
        <f t="shared" si="16"/>
        <v>2980.1234996886292</v>
      </c>
      <c r="Q38" s="244">
        <f t="shared" si="16"/>
        <v>3115.8086857790931</v>
      </c>
      <c r="R38" s="244">
        <f t="shared" si="16"/>
        <v>3009.7737748907384</v>
      </c>
      <c r="S38" s="244">
        <f t="shared" si="16"/>
        <v>3266.4624536526758</v>
      </c>
      <c r="T38" s="244">
        <f t="shared" si="16"/>
        <v>6436.4308387690862</v>
      </c>
      <c r="U38" s="244">
        <f t="shared" si="16"/>
        <v>8268.1186865692853</v>
      </c>
      <c r="V38" s="244">
        <f t="shared" si="16"/>
        <v>11453.947764647935</v>
      </c>
      <c r="W38" s="244">
        <f t="shared" si="16"/>
        <v>12787.984981209103</v>
      </c>
      <c r="X38" s="244">
        <f t="shared" si="16"/>
        <v>13544.734773657543</v>
      </c>
      <c r="Y38" s="244">
        <f t="shared" si="16"/>
        <v>16182.674329516372</v>
      </c>
      <c r="Z38" s="244">
        <f t="shared" si="16"/>
        <v>18686.799710950767</v>
      </c>
      <c r="AA38" s="244">
        <f t="shared" si="16"/>
        <v>21205.359620299336</v>
      </c>
      <c r="AB38" s="244">
        <f t="shared" si="16"/>
        <v>22795.053404554292</v>
      </c>
      <c r="AC38" s="244">
        <f t="shared" si="16"/>
        <v>22455.9112236439</v>
      </c>
      <c r="AD38" s="244">
        <f t="shared" si="16"/>
        <v>24110.267747362217</v>
      </c>
      <c r="AE38" s="244">
        <f t="shared" si="16"/>
        <v>26726.836901699062</v>
      </c>
      <c r="AF38" s="244">
        <f t="shared" si="16"/>
        <v>27006.24106105978</v>
      </c>
      <c r="AG38" s="244">
        <f t="shared" si="16"/>
        <v>24676.227776818829</v>
      </c>
      <c r="AH38" s="244">
        <f t="shared" ref="AH38:AL38" si="17">AH10*C_CO2</f>
        <v>0</v>
      </c>
      <c r="AI38" s="244">
        <f t="shared" si="17"/>
        <v>0</v>
      </c>
      <c r="AJ38" s="244">
        <f t="shared" si="17"/>
        <v>0</v>
      </c>
      <c r="AK38" s="244">
        <f t="shared" si="17"/>
        <v>0</v>
      </c>
      <c r="AL38" s="244">
        <f t="shared" si="17"/>
        <v>0</v>
      </c>
    </row>
    <row r="39" spans="2:38" ht="14" hidden="1">
      <c r="B39" s="23" t="s">
        <v>73</v>
      </c>
      <c r="C39" s="245">
        <f t="shared" ref="C39:AG39" si="18">C11*C_CO2</f>
        <v>45.256953375103095</v>
      </c>
      <c r="D39" s="245">
        <f t="shared" si="18"/>
        <v>41.018855691916244</v>
      </c>
      <c r="E39" s="245">
        <f t="shared" si="18"/>
        <v>39.832519583300567</v>
      </c>
      <c r="F39" s="245">
        <f t="shared" si="18"/>
        <v>39.029388922937798</v>
      </c>
      <c r="G39" s="245">
        <f t="shared" si="18"/>
        <v>37.582303550813826</v>
      </c>
      <c r="H39" s="245">
        <f t="shared" si="18"/>
        <v>35.326254949750144</v>
      </c>
      <c r="I39" s="245">
        <f t="shared" si="18"/>
        <v>34.019447410600911</v>
      </c>
      <c r="J39" s="245">
        <f t="shared" si="18"/>
        <v>33.592883614063702</v>
      </c>
      <c r="K39" s="245">
        <f t="shared" si="18"/>
        <v>31.765535698047973</v>
      </c>
      <c r="L39" s="245">
        <f t="shared" si="18"/>
        <v>32.36881929683868</v>
      </c>
      <c r="M39" s="245">
        <f t="shared" si="18"/>
        <v>30.599280565773196</v>
      </c>
      <c r="N39" s="245">
        <f t="shared" si="18"/>
        <v>27.007419222934267</v>
      </c>
      <c r="O39" s="245">
        <f t="shared" si="18"/>
        <v>27.343928535802707</v>
      </c>
      <c r="P39" s="245">
        <f t="shared" si="18"/>
        <v>27.159424230968828</v>
      </c>
      <c r="Q39" s="245">
        <f t="shared" si="18"/>
        <v>27.733353029152294</v>
      </c>
      <c r="R39" s="245">
        <f t="shared" si="18"/>
        <v>27.095140707805303</v>
      </c>
      <c r="S39" s="245">
        <f t="shared" si="18"/>
        <v>24.500542187936585</v>
      </c>
      <c r="T39" s="245">
        <f t="shared" si="18"/>
        <v>27.109313742560069</v>
      </c>
      <c r="U39" s="245">
        <f t="shared" si="18"/>
        <v>30.572830169438308</v>
      </c>
      <c r="V39" s="245">
        <f t="shared" si="18"/>
        <v>92.66349999332175</v>
      </c>
      <c r="W39" s="245">
        <f t="shared" si="18"/>
        <v>172.25190287580051</v>
      </c>
      <c r="X39" s="245">
        <f t="shared" si="18"/>
        <v>247.76548703622564</v>
      </c>
      <c r="Y39" s="245">
        <f t="shared" si="18"/>
        <v>331.19536404143417</v>
      </c>
      <c r="Z39" s="245">
        <f t="shared" si="18"/>
        <v>392.07997468097227</v>
      </c>
      <c r="AA39" s="245">
        <f t="shared" si="18"/>
        <v>431.84778910569105</v>
      </c>
      <c r="AB39" s="245">
        <f t="shared" si="18"/>
        <v>473.28568226759876</v>
      </c>
      <c r="AC39" s="245">
        <f t="shared" si="18"/>
        <v>472.17521940628194</v>
      </c>
      <c r="AD39" s="245">
        <f t="shared" si="18"/>
        <v>493.92102461982563</v>
      </c>
      <c r="AE39" s="245">
        <f t="shared" si="18"/>
        <v>511.38815807944025</v>
      </c>
      <c r="AF39" s="245">
        <f t="shared" si="18"/>
        <v>499.52025663608708</v>
      </c>
      <c r="AG39" s="245">
        <f t="shared" si="18"/>
        <v>382.08071971969673</v>
      </c>
      <c r="AH39" s="245">
        <f t="shared" ref="AH39:AL39" si="19">AH11*C_CO2</f>
        <v>0</v>
      </c>
      <c r="AI39" s="245">
        <f t="shared" si="19"/>
        <v>0</v>
      </c>
      <c r="AJ39" s="245">
        <f t="shared" si="19"/>
        <v>0</v>
      </c>
      <c r="AK39" s="245">
        <f t="shared" si="19"/>
        <v>0</v>
      </c>
      <c r="AL39" s="245">
        <f t="shared" si="19"/>
        <v>0</v>
      </c>
    </row>
    <row r="40" spans="2:38" ht="14" hidden="1">
      <c r="B40" s="23" t="s">
        <v>74</v>
      </c>
      <c r="C40" s="245">
        <f t="shared" ref="C40:AG40" si="20">C12*C_CO2</f>
        <v>74.093217700039204</v>
      </c>
      <c r="D40" s="245">
        <f t="shared" si="20"/>
        <v>81.873125103307359</v>
      </c>
      <c r="E40" s="245">
        <f t="shared" si="20"/>
        <v>89.434056092646316</v>
      </c>
      <c r="F40" s="245">
        <f t="shared" si="20"/>
        <v>96.518646028630954</v>
      </c>
      <c r="G40" s="245">
        <f t="shared" si="20"/>
        <v>99.350189562921059</v>
      </c>
      <c r="H40" s="245">
        <f t="shared" si="20"/>
        <v>101.72199968309049</v>
      </c>
      <c r="I40" s="245">
        <f t="shared" si="20"/>
        <v>105.49555430491498</v>
      </c>
      <c r="J40" s="245">
        <f t="shared" si="20"/>
        <v>111.08738175221383</v>
      </c>
      <c r="K40" s="245">
        <f t="shared" si="20"/>
        <v>112.09233263905143</v>
      </c>
      <c r="L40" s="245">
        <f t="shared" si="20"/>
        <v>113.82691585934339</v>
      </c>
      <c r="M40" s="245">
        <f t="shared" si="20"/>
        <v>115.3542673743886</v>
      </c>
      <c r="N40" s="245">
        <f t="shared" si="20"/>
        <v>113.91614024834959</v>
      </c>
      <c r="O40" s="245">
        <f t="shared" si="20"/>
        <v>116.84098150655461</v>
      </c>
      <c r="P40" s="245">
        <f t="shared" si="20"/>
        <v>120.44203930164343</v>
      </c>
      <c r="Q40" s="245">
        <f t="shared" si="20"/>
        <v>122.32044486055594</v>
      </c>
      <c r="R40" s="245">
        <f t="shared" si="20"/>
        <v>122.11049631030647</v>
      </c>
      <c r="S40" s="245">
        <f t="shared" si="20"/>
        <v>138.43539262017993</v>
      </c>
      <c r="T40" s="245">
        <f t="shared" si="20"/>
        <v>452.95475986754371</v>
      </c>
      <c r="U40" s="245">
        <f t="shared" si="20"/>
        <v>710.06966878230662</v>
      </c>
      <c r="V40" s="245">
        <f t="shared" si="20"/>
        <v>448.70656830902323</v>
      </c>
      <c r="W40" s="245">
        <f t="shared" si="20"/>
        <v>509.57880984629401</v>
      </c>
      <c r="X40" s="245">
        <f t="shared" si="20"/>
        <v>564.58828550718761</v>
      </c>
      <c r="Y40" s="245">
        <f t="shared" si="20"/>
        <v>681.14206699144677</v>
      </c>
      <c r="Z40" s="245">
        <f t="shared" si="20"/>
        <v>792.99291527012826</v>
      </c>
      <c r="AA40" s="245">
        <f t="shared" si="20"/>
        <v>936.31558482357138</v>
      </c>
      <c r="AB40" s="245">
        <f t="shared" si="20"/>
        <v>1006.9222162755224</v>
      </c>
      <c r="AC40" s="245">
        <f t="shared" si="20"/>
        <v>1064.8028887112675</v>
      </c>
      <c r="AD40" s="245">
        <f t="shared" si="20"/>
        <v>1145.9398672540317</v>
      </c>
      <c r="AE40" s="245">
        <f t="shared" si="20"/>
        <v>1203.1038511355925</v>
      </c>
      <c r="AF40" s="245">
        <f t="shared" si="20"/>
        <v>1089.074482311509</v>
      </c>
      <c r="AG40" s="245">
        <f t="shared" si="20"/>
        <v>1037.3590561779729</v>
      </c>
      <c r="AH40" s="245">
        <f t="shared" ref="AH40:AL40" si="21">AH12*C_CO2</f>
        <v>0</v>
      </c>
      <c r="AI40" s="245">
        <f t="shared" si="21"/>
        <v>0</v>
      </c>
      <c r="AJ40" s="245">
        <f t="shared" si="21"/>
        <v>0</v>
      </c>
      <c r="AK40" s="245">
        <f t="shared" si="21"/>
        <v>0</v>
      </c>
      <c r="AL40" s="245">
        <f t="shared" si="21"/>
        <v>0</v>
      </c>
    </row>
    <row r="41" spans="2:38" ht="14" hidden="1">
      <c r="B41" s="23" t="s">
        <v>75</v>
      </c>
      <c r="C41" s="245">
        <f t="shared" ref="C41:AG41" si="22">C13*C_CO2</f>
        <v>1682.3604823317171</v>
      </c>
      <c r="D41" s="245">
        <f t="shared" si="22"/>
        <v>1728.0724197248128</v>
      </c>
      <c r="E41" s="245">
        <f t="shared" si="22"/>
        <v>1822.6010434077393</v>
      </c>
      <c r="F41" s="245">
        <f t="shared" si="22"/>
        <v>1852.1657902943941</v>
      </c>
      <c r="G41" s="245">
        <f t="shared" si="22"/>
        <v>2032.0292931139782</v>
      </c>
      <c r="H41" s="245">
        <f t="shared" si="22"/>
        <v>2158.5238480411822</v>
      </c>
      <c r="I41" s="245">
        <f t="shared" si="22"/>
        <v>2225.7212125631254</v>
      </c>
      <c r="J41" s="245">
        <f t="shared" si="22"/>
        <v>2351.3537296349496</v>
      </c>
      <c r="K41" s="245">
        <f t="shared" si="22"/>
        <v>2416.2609250288283</v>
      </c>
      <c r="L41" s="245">
        <f t="shared" si="22"/>
        <v>2484.7547092673826</v>
      </c>
      <c r="M41" s="245">
        <f t="shared" si="22"/>
        <v>2491.30390252814</v>
      </c>
      <c r="N41" s="245">
        <f t="shared" si="22"/>
        <v>2606.4936463691897</v>
      </c>
      <c r="O41" s="245">
        <f t="shared" si="22"/>
        <v>2676.5117690939428</v>
      </c>
      <c r="P41" s="245">
        <f t="shared" si="22"/>
        <v>2680.8053705375846</v>
      </c>
      <c r="Q41" s="245">
        <f t="shared" si="22"/>
        <v>2814.802102183703</v>
      </c>
      <c r="R41" s="245">
        <f t="shared" si="22"/>
        <v>2709.7426042275483</v>
      </c>
      <c r="S41" s="245">
        <f t="shared" si="22"/>
        <v>2960.6485950462643</v>
      </c>
      <c r="T41" s="245">
        <f t="shared" si="22"/>
        <v>5457.7672879139</v>
      </c>
      <c r="U41" s="245">
        <f t="shared" si="22"/>
        <v>6851.9512973831343</v>
      </c>
      <c r="V41" s="245">
        <f t="shared" si="22"/>
        <v>10145.772439855224</v>
      </c>
      <c r="W41" s="245">
        <f t="shared" si="22"/>
        <v>11294.761581415662</v>
      </c>
      <c r="X41" s="245">
        <f t="shared" si="22"/>
        <v>11795.439527877623</v>
      </c>
      <c r="Y41" s="245">
        <f t="shared" si="22"/>
        <v>14055.295189922819</v>
      </c>
      <c r="Z41" s="245">
        <f t="shared" si="22"/>
        <v>16244.962657620572</v>
      </c>
      <c r="AA41" s="245">
        <f t="shared" si="22"/>
        <v>18401.09535501356</v>
      </c>
      <c r="AB41" s="245">
        <f t="shared" si="22"/>
        <v>19777.26040882161</v>
      </c>
      <c r="AC41" s="245">
        <f t="shared" si="22"/>
        <v>19275.310945007495</v>
      </c>
      <c r="AD41" s="245">
        <f t="shared" si="22"/>
        <v>20652.179380904789</v>
      </c>
      <c r="AE41" s="245">
        <f t="shared" si="22"/>
        <v>22971.121366415224</v>
      </c>
      <c r="AF41" s="245">
        <f t="shared" si="22"/>
        <v>23105.458169279082</v>
      </c>
      <c r="AG41" s="245">
        <f t="shared" si="22"/>
        <v>21526.332200306151</v>
      </c>
      <c r="AH41" s="245">
        <f t="shared" ref="AH41:AL41" si="23">AH13*C_CO2</f>
        <v>0</v>
      </c>
      <c r="AI41" s="245">
        <f t="shared" si="23"/>
        <v>0</v>
      </c>
      <c r="AJ41" s="245">
        <f t="shared" si="23"/>
        <v>0</v>
      </c>
      <c r="AK41" s="245">
        <f t="shared" si="23"/>
        <v>0</v>
      </c>
      <c r="AL41" s="245">
        <f t="shared" si="23"/>
        <v>0</v>
      </c>
    </row>
    <row r="42" spans="2:38" ht="14" hidden="1">
      <c r="B42" s="145" t="s">
        <v>78</v>
      </c>
      <c r="C42" s="244">
        <f t="shared" ref="C42:AG42" si="24">C15*C_CO2</f>
        <v>55812.686002304021</v>
      </c>
      <c r="D42" s="244">
        <f t="shared" si="24"/>
        <v>53812.168743913113</v>
      </c>
      <c r="E42" s="244">
        <f t="shared" si="24"/>
        <v>57255.518022026867</v>
      </c>
      <c r="F42" s="244">
        <f t="shared" si="24"/>
        <v>79401.847344059526</v>
      </c>
      <c r="G42" s="244">
        <f t="shared" si="24"/>
        <v>69109.338988321833</v>
      </c>
      <c r="H42" s="244">
        <f t="shared" si="24"/>
        <v>71528.540595714498</v>
      </c>
      <c r="I42" s="244">
        <f t="shared" si="24"/>
        <v>73275.234504882712</v>
      </c>
      <c r="J42" s="244">
        <f t="shared" si="24"/>
        <v>72748.05667057031</v>
      </c>
      <c r="K42" s="244">
        <f t="shared" si="24"/>
        <v>77592.581512397883</v>
      </c>
      <c r="L42" s="244">
        <f t="shared" si="24"/>
        <v>80669.169649985357</v>
      </c>
      <c r="M42" s="244">
        <f t="shared" si="24"/>
        <v>87596.027581967908</v>
      </c>
      <c r="N42" s="244">
        <f t="shared" si="24"/>
        <v>83480.477648200962</v>
      </c>
      <c r="O42" s="244">
        <f t="shared" si="24"/>
        <v>83492.953805610814</v>
      </c>
      <c r="P42" s="244">
        <f t="shared" si="24"/>
        <v>92357.660265521379</v>
      </c>
      <c r="Q42" s="244">
        <f t="shared" si="24"/>
        <v>94803.916636036272</v>
      </c>
      <c r="R42" s="244">
        <f t="shared" si="24"/>
        <v>118936.04915650743</v>
      </c>
      <c r="S42" s="244">
        <f t="shared" si="24"/>
        <v>120334.54969798657</v>
      </c>
      <c r="T42" s="244">
        <f t="shared" si="24"/>
        <v>85408.580855770182</v>
      </c>
      <c r="U42" s="244">
        <f t="shared" si="24"/>
        <v>83982.592078498521</v>
      </c>
      <c r="V42" s="244">
        <f t="shared" si="24"/>
        <v>72379.265087015388</v>
      </c>
      <c r="W42" s="244">
        <f t="shared" si="24"/>
        <v>104964.07278307645</v>
      </c>
      <c r="X42" s="244">
        <f t="shared" si="24"/>
        <v>103649.3903519201</v>
      </c>
      <c r="Y42" s="244">
        <f t="shared" si="24"/>
        <v>107246.68243207232</v>
      </c>
      <c r="Z42" s="244">
        <f t="shared" si="24"/>
        <v>105211.60674896293</v>
      </c>
      <c r="AA42" s="244">
        <f t="shared" si="24"/>
        <v>107421.094827145</v>
      </c>
      <c r="AB42" s="244">
        <f t="shared" si="24"/>
        <v>98497.944096161023</v>
      </c>
      <c r="AC42" s="244">
        <f t="shared" si="24"/>
        <v>100594.69258296548</v>
      </c>
      <c r="AD42" s="244">
        <f t="shared" si="24"/>
        <v>103509.84009944559</v>
      </c>
      <c r="AE42" s="244">
        <f t="shared" si="24"/>
        <v>104987.97983633479</v>
      </c>
      <c r="AF42" s="244">
        <f t="shared" si="24"/>
        <v>103675.92566971431</v>
      </c>
      <c r="AG42" s="244">
        <f t="shared" si="24"/>
        <v>88376.906262773293</v>
      </c>
      <c r="AH42" s="244">
        <f t="shared" ref="AH42:AL42" si="25">AH15*C_CO2</f>
        <v>0</v>
      </c>
      <c r="AI42" s="244">
        <f t="shared" si="25"/>
        <v>0</v>
      </c>
      <c r="AJ42" s="244">
        <f t="shared" si="25"/>
        <v>0</v>
      </c>
      <c r="AK42" s="244">
        <f t="shared" si="25"/>
        <v>0</v>
      </c>
      <c r="AL42" s="244">
        <f t="shared" si="25"/>
        <v>0</v>
      </c>
    </row>
    <row r="43" spans="2:38" ht="14" hidden="1">
      <c r="B43" s="23" t="s">
        <v>79</v>
      </c>
      <c r="C43" s="245">
        <f t="shared" ref="C43:AG43" si="26">C16*C_CO2</f>
        <v>854.28634707142623</v>
      </c>
      <c r="D43" s="245">
        <f t="shared" si="26"/>
        <v>1033.3148845347291</v>
      </c>
      <c r="E43" s="245">
        <f t="shared" si="26"/>
        <v>861.58563535240978</v>
      </c>
      <c r="F43" s="245">
        <f t="shared" si="26"/>
        <v>785.22348732374326</v>
      </c>
      <c r="G43" s="245">
        <f t="shared" si="26"/>
        <v>829.22983566580206</v>
      </c>
      <c r="H43" s="245">
        <f t="shared" si="26"/>
        <v>942.4398247864367</v>
      </c>
      <c r="I43" s="245">
        <f t="shared" si="26"/>
        <v>862.92519800821333</v>
      </c>
      <c r="J43" s="245">
        <f t="shared" si="26"/>
        <v>903.48813498687423</v>
      </c>
      <c r="K43" s="245">
        <f t="shared" si="26"/>
        <v>869.66981762579508</v>
      </c>
      <c r="L43" s="245">
        <f t="shared" si="26"/>
        <v>970.731216391776</v>
      </c>
      <c r="M43" s="245">
        <f t="shared" si="26"/>
        <v>1065.1401831266774</v>
      </c>
      <c r="N43" s="245">
        <f t="shared" si="26"/>
        <v>1199.4138987598233</v>
      </c>
      <c r="O43" s="245">
        <f t="shared" si="26"/>
        <v>1105.8685772597801</v>
      </c>
      <c r="P43" s="245">
        <f t="shared" si="26"/>
        <v>1339.0138751544473</v>
      </c>
      <c r="Q43" s="245">
        <f t="shared" si="26"/>
        <v>38.72579196369454</v>
      </c>
      <c r="R43" s="245">
        <f t="shared" si="26"/>
        <v>1173.6580074665283</v>
      </c>
      <c r="S43" s="245">
        <f t="shared" si="26"/>
        <v>1307.8404547297835</v>
      </c>
      <c r="T43" s="245">
        <f t="shared" si="26"/>
        <v>1189.3182360449275</v>
      </c>
      <c r="U43" s="245">
        <f t="shared" si="26"/>
        <v>1133.0467273279344</v>
      </c>
      <c r="V43" s="245">
        <f t="shared" si="26"/>
        <v>1108.0734360850711</v>
      </c>
      <c r="W43" s="245">
        <f t="shared" si="26"/>
        <v>1112.4725965421003</v>
      </c>
      <c r="X43" s="245">
        <f t="shared" si="26"/>
        <v>1034.8624310832206</v>
      </c>
      <c r="Y43" s="245">
        <f t="shared" si="26"/>
        <v>1101.9821569513635</v>
      </c>
      <c r="Z43" s="245">
        <f t="shared" si="26"/>
        <v>1142.5149264524005</v>
      </c>
      <c r="AA43" s="245">
        <f t="shared" si="26"/>
        <v>905.43569976539493</v>
      </c>
      <c r="AB43" s="245">
        <f t="shared" si="26"/>
        <v>1571.7207391599718</v>
      </c>
      <c r="AC43" s="245">
        <f t="shared" si="26"/>
        <v>1570.210128073986</v>
      </c>
      <c r="AD43" s="245">
        <f t="shared" si="26"/>
        <v>1584.2476494090752</v>
      </c>
      <c r="AE43" s="245">
        <f t="shared" si="26"/>
        <v>1567.2853130548908</v>
      </c>
      <c r="AF43" s="245">
        <f t="shared" si="26"/>
        <v>1543.099150316342</v>
      </c>
      <c r="AG43" s="245">
        <f t="shared" si="26"/>
        <v>1605.6049975827752</v>
      </c>
      <c r="AH43" s="245">
        <f t="shared" ref="AH43:AL43" si="27">AH16*C_CO2</f>
        <v>0</v>
      </c>
      <c r="AI43" s="245">
        <f t="shared" si="27"/>
        <v>0</v>
      </c>
      <c r="AJ43" s="245">
        <f t="shared" si="27"/>
        <v>0</v>
      </c>
      <c r="AK43" s="245">
        <f t="shared" si="27"/>
        <v>0</v>
      </c>
      <c r="AL43" s="245">
        <f t="shared" si="27"/>
        <v>0</v>
      </c>
    </row>
    <row r="44" spans="2:38" ht="14" hidden="1">
      <c r="B44" s="23" t="s">
        <v>80</v>
      </c>
      <c r="C44" s="245">
        <f t="shared" ref="C44:AG44" si="28">C17*C_CO2</f>
        <v>4012.4003399999992</v>
      </c>
      <c r="D44" s="245">
        <f t="shared" si="28"/>
        <v>3276.7716149999992</v>
      </c>
      <c r="E44" s="245">
        <f t="shared" si="28"/>
        <v>3145.4829899999995</v>
      </c>
      <c r="F44" s="245">
        <f t="shared" si="28"/>
        <v>3342.5946450000001</v>
      </c>
      <c r="G44" s="245">
        <f t="shared" si="28"/>
        <v>3821.310089999999</v>
      </c>
      <c r="H44" s="245">
        <f t="shared" si="28"/>
        <v>5029.3579049999998</v>
      </c>
      <c r="I44" s="245">
        <f t="shared" si="28"/>
        <v>5520.9410099999996</v>
      </c>
      <c r="J44" s="245">
        <f t="shared" si="28"/>
        <v>4114.1318399999991</v>
      </c>
      <c r="K44" s="245">
        <f t="shared" si="28"/>
        <v>2868.635835</v>
      </c>
      <c r="L44" s="245">
        <f t="shared" si="28"/>
        <v>3391.7007149999999</v>
      </c>
      <c r="M44" s="245">
        <f t="shared" si="28"/>
        <v>2927.1726899999999</v>
      </c>
      <c r="N44" s="245">
        <f t="shared" si="28"/>
        <v>2046.06792</v>
      </c>
      <c r="O44" s="245">
        <f t="shared" si="28"/>
        <v>2875.619565</v>
      </c>
      <c r="P44" s="245">
        <f t="shared" si="28"/>
        <v>5548.023584999999</v>
      </c>
      <c r="Q44" s="245">
        <f t="shared" si="28"/>
        <v>1866.9929850000001</v>
      </c>
      <c r="R44" s="245">
        <f t="shared" si="28"/>
        <v>1731.0577049999999</v>
      </c>
      <c r="S44" s="245">
        <f t="shared" si="28"/>
        <v>1226.9918699999998</v>
      </c>
      <c r="T44" s="245">
        <f t="shared" si="28"/>
        <v>1213.2168750000001</v>
      </c>
      <c r="U44" s="245">
        <f t="shared" si="28"/>
        <v>1497.240225</v>
      </c>
      <c r="V44" s="245">
        <f t="shared" si="28"/>
        <v>1731.0851999999995</v>
      </c>
      <c r="W44" s="245">
        <f t="shared" si="28"/>
        <v>2447.8248599999997</v>
      </c>
      <c r="X44" s="245">
        <f t="shared" si="28"/>
        <v>1820.6364149999997</v>
      </c>
      <c r="Y44" s="245">
        <f t="shared" si="28"/>
        <v>2057.9182649999998</v>
      </c>
      <c r="Z44" s="245">
        <f t="shared" si="28"/>
        <v>2283.2672849999999</v>
      </c>
      <c r="AA44" s="245">
        <f t="shared" si="28"/>
        <v>4177.7277749999994</v>
      </c>
      <c r="AB44" s="245">
        <f t="shared" si="28"/>
        <v>5707.4395949999989</v>
      </c>
      <c r="AC44" s="245">
        <f t="shared" si="28"/>
        <v>6655.0822649999991</v>
      </c>
      <c r="AD44" s="245">
        <f t="shared" si="28"/>
        <v>8109.6227550000003</v>
      </c>
      <c r="AE44" s="245">
        <f t="shared" si="28"/>
        <v>8639.1764550000007</v>
      </c>
      <c r="AF44" s="245">
        <f t="shared" si="28"/>
        <v>8002.5572249999987</v>
      </c>
      <c r="AG44" s="245">
        <f t="shared" si="28"/>
        <v>6416.7830999999987</v>
      </c>
      <c r="AH44" s="245">
        <f t="shared" ref="AH44:AL44" si="29">AH17*C_CO2</f>
        <v>0</v>
      </c>
      <c r="AI44" s="245">
        <f t="shared" si="29"/>
        <v>0</v>
      </c>
      <c r="AJ44" s="245">
        <f t="shared" si="29"/>
        <v>0</v>
      </c>
      <c r="AK44" s="245">
        <f t="shared" si="29"/>
        <v>0</v>
      </c>
      <c r="AL44" s="245">
        <f t="shared" si="29"/>
        <v>0</v>
      </c>
    </row>
    <row r="45" spans="2:38" ht="14" hidden="1">
      <c r="B45" s="23" t="s">
        <v>81</v>
      </c>
      <c r="C45" s="245">
        <f t="shared" ref="C45:AG45" si="30">C18*C_CO2</f>
        <v>21212.909101740846</v>
      </c>
      <c r="D45" s="245">
        <f t="shared" si="30"/>
        <v>18885.657458063277</v>
      </c>
      <c r="E45" s="245">
        <f t="shared" si="30"/>
        <v>20728.260023180359</v>
      </c>
      <c r="F45" s="245">
        <f t="shared" si="30"/>
        <v>19184.070708621253</v>
      </c>
      <c r="G45" s="245">
        <f t="shared" si="30"/>
        <v>18831.242475689523</v>
      </c>
      <c r="H45" s="245">
        <f t="shared" si="30"/>
        <v>22645.112491002139</v>
      </c>
      <c r="I45" s="245">
        <f t="shared" si="30"/>
        <v>21244.923250977954</v>
      </c>
      <c r="J45" s="245">
        <f t="shared" si="30"/>
        <v>21453.316859903298</v>
      </c>
      <c r="K45" s="245">
        <f t="shared" si="30"/>
        <v>21382.258897731597</v>
      </c>
      <c r="L45" s="245">
        <f t="shared" si="30"/>
        <v>15337.655126232168</v>
      </c>
      <c r="M45" s="245">
        <f t="shared" si="30"/>
        <v>17025.702439536402</v>
      </c>
      <c r="N45" s="245">
        <f t="shared" si="30"/>
        <v>15782.312348653992</v>
      </c>
      <c r="O45" s="245">
        <f t="shared" si="30"/>
        <v>15709.599320597494</v>
      </c>
      <c r="P45" s="245">
        <f t="shared" si="30"/>
        <v>16680.460975305956</v>
      </c>
      <c r="Q45" s="245">
        <f t="shared" si="30"/>
        <v>17158.421283494055</v>
      </c>
      <c r="R45" s="245">
        <f t="shared" si="30"/>
        <v>17423.062804569472</v>
      </c>
      <c r="S45" s="245">
        <f t="shared" si="30"/>
        <v>22066.523227748145</v>
      </c>
      <c r="T45" s="245">
        <f t="shared" si="30"/>
        <v>19349.516948058998</v>
      </c>
      <c r="U45" s="245">
        <f t="shared" si="30"/>
        <v>21274.279310843751</v>
      </c>
      <c r="V45" s="245">
        <f t="shared" si="30"/>
        <v>13630.997419184898</v>
      </c>
      <c r="W45" s="245">
        <f t="shared" si="30"/>
        <v>15308.686431948539</v>
      </c>
      <c r="X45" s="245">
        <f t="shared" si="30"/>
        <v>16211.781979121908</v>
      </c>
      <c r="Y45" s="245">
        <f t="shared" si="30"/>
        <v>16396.334651456313</v>
      </c>
      <c r="Z45" s="245">
        <f t="shared" si="30"/>
        <v>17530.085616538905</v>
      </c>
      <c r="AA45" s="245">
        <f t="shared" si="30"/>
        <v>18699.439748797027</v>
      </c>
      <c r="AB45" s="245">
        <f t="shared" si="30"/>
        <v>17069.950752324494</v>
      </c>
      <c r="AC45" s="245">
        <f t="shared" si="30"/>
        <v>17051.976574847482</v>
      </c>
      <c r="AD45" s="245">
        <f t="shared" si="30"/>
        <v>16908.442464441203</v>
      </c>
      <c r="AE45" s="245">
        <f t="shared" si="30"/>
        <v>17590.346675552952</v>
      </c>
      <c r="AF45" s="245">
        <f t="shared" si="30"/>
        <v>15646.003320345459</v>
      </c>
      <c r="AG45" s="245">
        <f t="shared" si="30"/>
        <v>17573.519714501435</v>
      </c>
      <c r="AH45" s="245">
        <f t="shared" ref="AH45:AL45" si="31">AH18*C_CO2</f>
        <v>0</v>
      </c>
      <c r="AI45" s="245">
        <f t="shared" si="31"/>
        <v>0</v>
      </c>
      <c r="AJ45" s="245">
        <f t="shared" si="31"/>
        <v>0</v>
      </c>
      <c r="AK45" s="245">
        <f t="shared" si="31"/>
        <v>0</v>
      </c>
      <c r="AL45" s="245">
        <f t="shared" si="31"/>
        <v>0</v>
      </c>
    </row>
    <row r="46" spans="2:38" ht="14" hidden="1">
      <c r="B46" s="23" t="s">
        <v>82</v>
      </c>
      <c r="C46" s="245">
        <f t="shared" ref="C46:AG46" si="32">C19*C_CO2</f>
        <v>17075.318269029405</v>
      </c>
      <c r="D46" s="245">
        <f t="shared" si="32"/>
        <v>15412.034251780737</v>
      </c>
      <c r="E46" s="245">
        <f t="shared" si="32"/>
        <v>16080.749724953554</v>
      </c>
      <c r="F46" s="245">
        <f t="shared" si="32"/>
        <v>17678.599350027409</v>
      </c>
      <c r="G46" s="245">
        <f t="shared" si="32"/>
        <v>17601.038209315899</v>
      </c>
      <c r="H46" s="245">
        <f t="shared" si="32"/>
        <v>14282.249819284663</v>
      </c>
      <c r="I46" s="245">
        <f t="shared" si="32"/>
        <v>15273.612055632306</v>
      </c>
      <c r="J46" s="245">
        <f t="shared" si="32"/>
        <v>14850.934991480919</v>
      </c>
      <c r="K46" s="245">
        <f t="shared" si="32"/>
        <v>14070.918920822345</v>
      </c>
      <c r="L46" s="245">
        <f t="shared" si="32"/>
        <v>14875.652617314539</v>
      </c>
      <c r="M46" s="245">
        <f t="shared" si="32"/>
        <v>14425.311417244273</v>
      </c>
      <c r="N46" s="245">
        <f t="shared" si="32"/>
        <v>16502.44152915003</v>
      </c>
      <c r="O46" s="245">
        <f t="shared" si="32"/>
        <v>20032.669869815214</v>
      </c>
      <c r="P46" s="245">
        <f t="shared" si="32"/>
        <v>23977.667196198337</v>
      </c>
      <c r="Q46" s="245">
        <f t="shared" si="32"/>
        <v>21195.29827294789</v>
      </c>
      <c r="R46" s="245">
        <f t="shared" si="32"/>
        <v>25935.653780047909</v>
      </c>
      <c r="S46" s="245">
        <f t="shared" si="32"/>
        <v>29521.572289543026</v>
      </c>
      <c r="T46" s="245">
        <f t="shared" si="32"/>
        <v>22293.741162594833</v>
      </c>
      <c r="U46" s="245">
        <f t="shared" si="32"/>
        <v>19868.491935099679</v>
      </c>
      <c r="V46" s="245">
        <f t="shared" si="32"/>
        <v>18844.081729464207</v>
      </c>
      <c r="W46" s="245">
        <f t="shared" si="32"/>
        <v>19410.485298281459</v>
      </c>
      <c r="X46" s="245">
        <f t="shared" si="32"/>
        <v>21909.045294315925</v>
      </c>
      <c r="Y46" s="245">
        <f t="shared" si="32"/>
        <v>19456.977746342491</v>
      </c>
      <c r="Z46" s="245">
        <f t="shared" si="32"/>
        <v>22179.716155694354</v>
      </c>
      <c r="AA46" s="245">
        <f t="shared" si="32"/>
        <v>19790.280259830117</v>
      </c>
      <c r="AB46" s="245">
        <f t="shared" si="32"/>
        <v>11362.507005727166</v>
      </c>
      <c r="AC46" s="245">
        <f t="shared" si="32"/>
        <v>11721.241127559628</v>
      </c>
      <c r="AD46" s="245">
        <f t="shared" si="32"/>
        <v>12692.963172752476</v>
      </c>
      <c r="AE46" s="245">
        <f t="shared" si="32"/>
        <v>13103.803633998879</v>
      </c>
      <c r="AF46" s="245">
        <f t="shared" si="32"/>
        <v>13443.473192554144</v>
      </c>
      <c r="AG46" s="245">
        <f t="shared" si="32"/>
        <v>12418.214377669685</v>
      </c>
      <c r="AH46" s="245">
        <f t="shared" ref="AH46:AL46" si="33">AH19*C_CO2</f>
        <v>0</v>
      </c>
      <c r="AI46" s="245">
        <f t="shared" si="33"/>
        <v>0</v>
      </c>
      <c r="AJ46" s="245">
        <f t="shared" si="33"/>
        <v>0</v>
      </c>
      <c r="AK46" s="245">
        <f t="shared" si="33"/>
        <v>0</v>
      </c>
      <c r="AL46" s="245">
        <f t="shared" si="33"/>
        <v>0</v>
      </c>
    </row>
    <row r="47" spans="2:38" ht="14" hidden="1">
      <c r="B47" s="23" t="s">
        <v>83</v>
      </c>
      <c r="C47" s="245">
        <f t="shared" ref="C47:AG47" si="34">C20*C_CO2</f>
        <v>4357.2348365922326</v>
      </c>
      <c r="D47" s="245">
        <f t="shared" si="34"/>
        <v>6862.0474019671856</v>
      </c>
      <c r="E47" s="245">
        <f t="shared" si="34"/>
        <v>7818.9548717126399</v>
      </c>
      <c r="F47" s="245">
        <f t="shared" si="34"/>
        <v>9723.5222109332954</v>
      </c>
      <c r="G47" s="245">
        <f t="shared" si="34"/>
        <v>10100.691582370559</v>
      </c>
      <c r="H47" s="245">
        <f t="shared" si="34"/>
        <v>10866.940427468511</v>
      </c>
      <c r="I47" s="245">
        <f t="shared" si="34"/>
        <v>12540.765329903825</v>
      </c>
      <c r="J47" s="245">
        <f t="shared" si="34"/>
        <v>12951.682249158801</v>
      </c>
      <c r="K47" s="245">
        <f t="shared" si="34"/>
        <v>13535.355133547522</v>
      </c>
      <c r="L47" s="245">
        <f t="shared" si="34"/>
        <v>18601.982365608263</v>
      </c>
      <c r="M47" s="245">
        <f t="shared" si="34"/>
        <v>22992.521295634386</v>
      </c>
      <c r="N47" s="245">
        <f t="shared" si="34"/>
        <v>18866.361807505047</v>
      </c>
      <c r="O47" s="245">
        <f t="shared" si="34"/>
        <v>13995.869715507493</v>
      </c>
      <c r="P47" s="245">
        <f t="shared" si="34"/>
        <v>13719.721237892767</v>
      </c>
      <c r="Q47" s="245">
        <f t="shared" si="34"/>
        <v>21900.830263924181</v>
      </c>
      <c r="R47" s="245">
        <f t="shared" si="34"/>
        <v>39584.419850956619</v>
      </c>
      <c r="S47" s="245">
        <f t="shared" si="34"/>
        <v>28654.43063183493</v>
      </c>
      <c r="T47" s="245">
        <f t="shared" si="34"/>
        <v>29631.883706319008</v>
      </c>
      <c r="U47" s="245">
        <f t="shared" si="34"/>
        <v>28090.218216232141</v>
      </c>
      <c r="V47" s="245">
        <f t="shared" si="34"/>
        <v>25003.751524052946</v>
      </c>
      <c r="W47" s="245">
        <f t="shared" si="34"/>
        <v>28271.581773754475</v>
      </c>
      <c r="X47" s="245">
        <f t="shared" si="34"/>
        <v>28167.077478109957</v>
      </c>
      <c r="Y47" s="245">
        <f t="shared" si="34"/>
        <v>26732.491960533287</v>
      </c>
      <c r="Z47" s="245">
        <f t="shared" si="34"/>
        <v>27304.891610759216</v>
      </c>
      <c r="AA47" s="245">
        <f t="shared" si="34"/>
        <v>28297.47170759389</v>
      </c>
      <c r="AB47" s="245">
        <f t="shared" si="34"/>
        <v>30409.668144114501</v>
      </c>
      <c r="AC47" s="245">
        <f t="shared" si="34"/>
        <v>31053.647470406926</v>
      </c>
      <c r="AD47" s="245">
        <f t="shared" si="34"/>
        <v>31248.686521332478</v>
      </c>
      <c r="AE47" s="245">
        <f t="shared" si="34"/>
        <v>30765.075879387223</v>
      </c>
      <c r="AF47" s="245">
        <f t="shared" si="34"/>
        <v>31313.236273670227</v>
      </c>
      <c r="AG47" s="245">
        <f t="shared" si="34"/>
        <v>18474.803604647564</v>
      </c>
      <c r="AH47" s="245">
        <f t="shared" ref="AH47:AL47" si="35">AH20*C_CO2</f>
        <v>0</v>
      </c>
      <c r="AI47" s="245">
        <f t="shared" si="35"/>
        <v>0</v>
      </c>
      <c r="AJ47" s="245">
        <f t="shared" si="35"/>
        <v>0</v>
      </c>
      <c r="AK47" s="245">
        <f t="shared" si="35"/>
        <v>0</v>
      </c>
      <c r="AL47" s="245">
        <f t="shared" si="35"/>
        <v>0</v>
      </c>
    </row>
    <row r="48" spans="2:38" ht="14" hidden="1">
      <c r="B48" s="23" t="s">
        <v>84</v>
      </c>
      <c r="C48" s="245">
        <f t="shared" ref="C48:AG48" si="36">C21*C_CO2</f>
        <v>8300.5371078701137</v>
      </c>
      <c r="D48" s="245">
        <f t="shared" si="36"/>
        <v>8342.3431325671936</v>
      </c>
      <c r="E48" s="245">
        <f t="shared" si="36"/>
        <v>8620.4847768279105</v>
      </c>
      <c r="F48" s="245">
        <f t="shared" si="36"/>
        <v>28687.836942153823</v>
      </c>
      <c r="G48" s="245">
        <f t="shared" si="36"/>
        <v>17925.826795280049</v>
      </c>
      <c r="H48" s="245">
        <f t="shared" si="36"/>
        <v>17762.440128172741</v>
      </c>
      <c r="I48" s="245">
        <f t="shared" si="36"/>
        <v>17832.067660360401</v>
      </c>
      <c r="J48" s="245">
        <f t="shared" si="36"/>
        <v>18474.502595040423</v>
      </c>
      <c r="K48" s="245">
        <f t="shared" si="36"/>
        <v>24865.742907670632</v>
      </c>
      <c r="L48" s="245">
        <f t="shared" si="36"/>
        <v>27491.447609438626</v>
      </c>
      <c r="M48" s="245">
        <f t="shared" si="36"/>
        <v>29160.179556426163</v>
      </c>
      <c r="N48" s="245">
        <f t="shared" si="36"/>
        <v>29083.880144132068</v>
      </c>
      <c r="O48" s="245">
        <f t="shared" si="36"/>
        <v>29773.326757430841</v>
      </c>
      <c r="P48" s="245">
        <f t="shared" si="36"/>
        <v>31092.773395969882</v>
      </c>
      <c r="Q48" s="245">
        <f t="shared" si="36"/>
        <v>32643.648038706448</v>
      </c>
      <c r="R48" s="245">
        <f t="shared" si="36"/>
        <v>33088.197008466901</v>
      </c>
      <c r="S48" s="245">
        <f t="shared" si="36"/>
        <v>37557.191224130678</v>
      </c>
      <c r="T48" s="245">
        <f t="shared" si="36"/>
        <v>11730.903927752428</v>
      </c>
      <c r="U48" s="245">
        <f t="shared" si="36"/>
        <v>12119.315663995021</v>
      </c>
      <c r="V48" s="245">
        <f t="shared" si="36"/>
        <v>12061.275778228272</v>
      </c>
      <c r="W48" s="245">
        <f t="shared" si="36"/>
        <v>38413.021822549883</v>
      </c>
      <c r="X48" s="245">
        <f t="shared" si="36"/>
        <v>34505.986754289086</v>
      </c>
      <c r="Y48" s="245">
        <f t="shared" si="36"/>
        <v>41500.977651788868</v>
      </c>
      <c r="Z48" s="245">
        <f t="shared" si="36"/>
        <v>34771.13115451808</v>
      </c>
      <c r="AA48" s="245">
        <f t="shared" si="36"/>
        <v>35550.739636158585</v>
      </c>
      <c r="AB48" s="245">
        <f t="shared" si="36"/>
        <v>32376.657859834886</v>
      </c>
      <c r="AC48" s="245">
        <f t="shared" si="36"/>
        <v>32542.535017077455</v>
      </c>
      <c r="AD48" s="245">
        <f t="shared" si="36"/>
        <v>32965.877536510372</v>
      </c>
      <c r="AE48" s="245">
        <f t="shared" si="36"/>
        <v>33322.291879340853</v>
      </c>
      <c r="AF48" s="245">
        <f t="shared" si="36"/>
        <v>33727.556507828151</v>
      </c>
      <c r="AG48" s="245">
        <f t="shared" si="36"/>
        <v>31887.980468371839</v>
      </c>
      <c r="AH48" s="245">
        <f t="shared" ref="AH48:AL48" si="37">AH21*C_CO2</f>
        <v>0</v>
      </c>
      <c r="AI48" s="245">
        <f t="shared" si="37"/>
        <v>0</v>
      </c>
      <c r="AJ48" s="245">
        <f t="shared" si="37"/>
        <v>0</v>
      </c>
      <c r="AK48" s="245">
        <f t="shared" si="37"/>
        <v>0</v>
      </c>
      <c r="AL48" s="245">
        <f t="shared" si="37"/>
        <v>0</v>
      </c>
    </row>
    <row r="49" spans="2:38" ht="14" hidden="1">
      <c r="B49" s="145" t="s">
        <v>85</v>
      </c>
      <c r="C49" s="244">
        <f t="shared" ref="C49:AG49" si="38">C22*C_CO2</f>
        <v>6.0373251041041645</v>
      </c>
      <c r="D49" s="244">
        <f t="shared" si="38"/>
        <v>6.4753309484282582</v>
      </c>
      <c r="E49" s="244">
        <f t="shared" si="38"/>
        <v>6.2605771684001947</v>
      </c>
      <c r="F49" s="244">
        <f t="shared" si="38"/>
        <v>8.0636821630358586</v>
      </c>
      <c r="G49" s="244">
        <f t="shared" si="38"/>
        <v>7.9523295843123414</v>
      </c>
      <c r="H49" s="244">
        <f t="shared" si="38"/>
        <v>8.1560189628983135</v>
      </c>
      <c r="I49" s="244">
        <f t="shared" si="38"/>
        <v>10.476159114495967</v>
      </c>
      <c r="J49" s="244">
        <f t="shared" si="38"/>
        <v>15.377389877217617</v>
      </c>
      <c r="K49" s="244">
        <f t="shared" si="38"/>
        <v>25.126334148515792</v>
      </c>
      <c r="L49" s="244">
        <f t="shared" si="38"/>
        <v>42.64263874052358</v>
      </c>
      <c r="M49" s="244">
        <f t="shared" si="38"/>
        <v>71.63681699335396</v>
      </c>
      <c r="N49" s="244">
        <f t="shared" si="38"/>
        <v>113.48138959252952</v>
      </c>
      <c r="O49" s="244">
        <f t="shared" si="38"/>
        <v>164.04873456907785</v>
      </c>
      <c r="P49" s="244">
        <f t="shared" si="38"/>
        <v>195.24125333030986</v>
      </c>
      <c r="Q49" s="244">
        <f t="shared" si="38"/>
        <v>219.35921391585163</v>
      </c>
      <c r="R49" s="244">
        <f t="shared" si="38"/>
        <v>244.99651513568332</v>
      </c>
      <c r="S49" s="244">
        <f t="shared" si="38"/>
        <v>274.28740328407724</v>
      </c>
      <c r="T49" s="244">
        <f t="shared" si="38"/>
        <v>291.61618234593976</v>
      </c>
      <c r="U49" s="244">
        <f t="shared" si="38"/>
        <v>318.36668505018014</v>
      </c>
      <c r="V49" s="244">
        <f t="shared" si="38"/>
        <v>363.37923649043256</v>
      </c>
      <c r="W49" s="244">
        <f t="shared" si="38"/>
        <v>421.19259086214936</v>
      </c>
      <c r="X49" s="244">
        <f t="shared" si="38"/>
        <v>424.29061980277601</v>
      </c>
      <c r="Y49" s="244">
        <f t="shared" si="38"/>
        <v>418.61024533483072</v>
      </c>
      <c r="Z49" s="244">
        <f t="shared" si="38"/>
        <v>433.11820312157209</v>
      </c>
      <c r="AA49" s="244">
        <f t="shared" si="38"/>
        <v>433.42665054529232</v>
      </c>
      <c r="AB49" s="244">
        <f t="shared" si="38"/>
        <v>485.29310286809914</v>
      </c>
      <c r="AC49" s="244">
        <f t="shared" si="38"/>
        <v>452.81776079766843</v>
      </c>
      <c r="AD49" s="244">
        <f t="shared" si="38"/>
        <v>499.13239285597649</v>
      </c>
      <c r="AE49" s="244">
        <f t="shared" si="38"/>
        <v>506.70473222781391</v>
      </c>
      <c r="AF49" s="244">
        <f t="shared" si="38"/>
        <v>529.0933925801445</v>
      </c>
      <c r="AG49" s="244">
        <f t="shared" si="38"/>
        <v>489.55044157818219</v>
      </c>
      <c r="AH49" s="244">
        <f t="shared" ref="AH49:AL49" si="39">AH22*C_CO2</f>
        <v>0</v>
      </c>
      <c r="AI49" s="244">
        <f t="shared" si="39"/>
        <v>0</v>
      </c>
      <c r="AJ49" s="244">
        <f t="shared" si="39"/>
        <v>0</v>
      </c>
      <c r="AK49" s="244">
        <f t="shared" si="39"/>
        <v>0</v>
      </c>
      <c r="AL49" s="244">
        <f t="shared" si="39"/>
        <v>0</v>
      </c>
    </row>
    <row r="50" spans="2:38" ht="14" hidden="1">
      <c r="B50" s="23" t="s">
        <v>86</v>
      </c>
      <c r="C50" s="245">
        <f t="shared" ref="C50:AG50" si="40">C23*C_CO2</f>
        <v>1.0584721618104385</v>
      </c>
      <c r="D50" s="245">
        <f t="shared" si="40"/>
        <v>1.0881753563210088</v>
      </c>
      <c r="E50" s="245">
        <f t="shared" si="40"/>
        <v>0.97706412593715486</v>
      </c>
      <c r="F50" s="245">
        <f t="shared" si="40"/>
        <v>1.275545874824195</v>
      </c>
      <c r="G50" s="245">
        <f t="shared" si="40"/>
        <v>1.2330859060262966</v>
      </c>
      <c r="H50" s="245">
        <f t="shared" si="40"/>
        <v>1.2106324398590347</v>
      </c>
      <c r="I50" s="245">
        <f t="shared" si="40"/>
        <v>1.3781839623352747</v>
      </c>
      <c r="J50" s="245">
        <f t="shared" si="40"/>
        <v>1.6675191390736683</v>
      </c>
      <c r="K50" s="245">
        <f t="shared" si="40"/>
        <v>2.1685101125129806</v>
      </c>
      <c r="L50" s="245">
        <f t="shared" si="40"/>
        <v>2.9024526870981093</v>
      </c>
      <c r="M50" s="245">
        <f t="shared" si="40"/>
        <v>4.5416003293086238</v>
      </c>
      <c r="N50" s="245">
        <f t="shared" si="40"/>
        <v>6.5481531435584568</v>
      </c>
      <c r="O50" s="245">
        <f t="shared" si="40"/>
        <v>9.1612179611930067</v>
      </c>
      <c r="P50" s="245">
        <f t="shared" si="40"/>
        <v>10.771814269618075</v>
      </c>
      <c r="Q50" s="245">
        <f t="shared" si="40"/>
        <v>8.0258048005587828</v>
      </c>
      <c r="R50" s="245">
        <f t="shared" si="40"/>
        <v>7.7128022147617781</v>
      </c>
      <c r="S50" s="245">
        <f t="shared" si="40"/>
        <v>6.7349963524538667</v>
      </c>
      <c r="T50" s="245">
        <f t="shared" si="40"/>
        <v>6.1350577676639224</v>
      </c>
      <c r="U50" s="245">
        <f t="shared" si="40"/>
        <v>4.5564958869471033</v>
      </c>
      <c r="V50" s="245">
        <f t="shared" si="40"/>
        <v>4.905322638028931</v>
      </c>
      <c r="W50" s="245">
        <f t="shared" si="40"/>
        <v>5.8005462972335318</v>
      </c>
      <c r="X50" s="245">
        <f t="shared" si="40"/>
        <v>5.9782921676871297</v>
      </c>
      <c r="Y50" s="245">
        <f t="shared" si="40"/>
        <v>6.4647987140004588</v>
      </c>
      <c r="Z50" s="245">
        <f t="shared" si="40"/>
        <v>7.2915261305572496</v>
      </c>
      <c r="AA50" s="245">
        <f t="shared" si="40"/>
        <v>7.1259044523588919</v>
      </c>
      <c r="AB50" s="245">
        <f t="shared" si="40"/>
        <v>6.962293433104251</v>
      </c>
      <c r="AC50" s="245">
        <f t="shared" si="40"/>
        <v>8.0796426539234183</v>
      </c>
      <c r="AD50" s="245">
        <f t="shared" si="40"/>
        <v>9.3664463405201364</v>
      </c>
      <c r="AE50" s="245">
        <f t="shared" si="40"/>
        <v>9.3873831453454102</v>
      </c>
      <c r="AF50" s="245">
        <f t="shared" si="40"/>
        <v>10.776634165436889</v>
      </c>
      <c r="AG50" s="245">
        <f t="shared" si="40"/>
        <v>9.4932505947673427</v>
      </c>
      <c r="AH50" s="245">
        <f t="shared" ref="AH50:AL50" si="41">AH23*C_CO2</f>
        <v>0</v>
      </c>
      <c r="AI50" s="245">
        <f t="shared" si="41"/>
        <v>0</v>
      </c>
      <c r="AJ50" s="245">
        <f t="shared" si="41"/>
        <v>0</v>
      </c>
      <c r="AK50" s="245">
        <f t="shared" si="41"/>
        <v>0</v>
      </c>
      <c r="AL50" s="245">
        <f t="shared" si="41"/>
        <v>0</v>
      </c>
    </row>
    <row r="51" spans="2:38" ht="14" hidden="1">
      <c r="B51" s="23" t="s">
        <v>87</v>
      </c>
      <c r="C51" s="245">
        <f t="shared" ref="C51:AG51" si="42">C24*C_CO2</f>
        <v>4.3136100572842908</v>
      </c>
      <c r="D51" s="245">
        <f t="shared" si="42"/>
        <v>4.393280005194411</v>
      </c>
      <c r="E51" s="245">
        <f t="shared" si="42"/>
        <v>3.906020806204042</v>
      </c>
      <c r="F51" s="245">
        <f t="shared" si="42"/>
        <v>5.0523374537652366</v>
      </c>
      <c r="G51" s="245">
        <f t="shared" si="42"/>
        <v>4.8257370350603672</v>
      </c>
      <c r="H51" s="245">
        <f t="shared" si="42"/>
        <v>4.6097755056804619</v>
      </c>
      <c r="I51" s="245">
        <f t="shared" si="42"/>
        <v>4.8708270066547037</v>
      </c>
      <c r="J51" s="245">
        <f t="shared" si="42"/>
        <v>5.0872569106615506</v>
      </c>
      <c r="K51" s="245">
        <f t="shared" si="42"/>
        <v>5.5073087746087728</v>
      </c>
      <c r="L51" s="245">
        <f t="shared" si="42"/>
        <v>5.4277376024463972</v>
      </c>
      <c r="M51" s="245">
        <f t="shared" si="42"/>
        <v>6.2986183367556885</v>
      </c>
      <c r="N51" s="245">
        <f t="shared" si="42"/>
        <v>7.4726652432742053</v>
      </c>
      <c r="O51" s="245">
        <f t="shared" si="42"/>
        <v>9.3085906324200707</v>
      </c>
      <c r="P51" s="245">
        <f t="shared" si="42"/>
        <v>10.456541869894156</v>
      </c>
      <c r="Q51" s="245">
        <f t="shared" si="42"/>
        <v>5.7986263368180868</v>
      </c>
      <c r="R51" s="245">
        <f t="shared" si="42"/>
        <v>6.1766103606520746</v>
      </c>
      <c r="S51" s="245">
        <f t="shared" si="42"/>
        <v>4.7166853676226914</v>
      </c>
      <c r="T51" s="245">
        <f t="shared" si="42"/>
        <v>4.5805705209609293</v>
      </c>
      <c r="U51" s="245">
        <f t="shared" si="42"/>
        <v>4.6574157048678382</v>
      </c>
      <c r="V51" s="245">
        <f t="shared" si="42"/>
        <v>4.6273087026498478</v>
      </c>
      <c r="W51" s="245">
        <f t="shared" si="42"/>
        <v>5.1097894786092652</v>
      </c>
      <c r="X51" s="245">
        <f t="shared" si="42"/>
        <v>6.0008679660135646</v>
      </c>
      <c r="Y51" s="245">
        <f t="shared" si="42"/>
        <v>6.7115419627166251</v>
      </c>
      <c r="Z51" s="245">
        <f t="shared" si="42"/>
        <v>7.3923817619009542</v>
      </c>
      <c r="AA51" s="245">
        <f t="shared" si="42"/>
        <v>8.6514245321338752</v>
      </c>
      <c r="AB51" s="245">
        <f t="shared" si="42"/>
        <v>10.077016276663407</v>
      </c>
      <c r="AC51" s="245">
        <f t="shared" si="42"/>
        <v>11.346737426120203</v>
      </c>
      <c r="AD51" s="245">
        <f t="shared" si="42"/>
        <v>10.573793980136465</v>
      </c>
      <c r="AE51" s="245">
        <f t="shared" si="42"/>
        <v>11.309996468909119</v>
      </c>
      <c r="AF51" s="245">
        <f t="shared" si="42"/>
        <v>12.227970446349257</v>
      </c>
      <c r="AG51" s="245">
        <f t="shared" si="42"/>
        <v>11.432262477698684</v>
      </c>
      <c r="AH51" s="245">
        <f t="shared" ref="AH51:AL51" si="43">AH24*C_CO2</f>
        <v>0</v>
      </c>
      <c r="AI51" s="245">
        <f t="shared" si="43"/>
        <v>0</v>
      </c>
      <c r="AJ51" s="245">
        <f t="shared" si="43"/>
        <v>0</v>
      </c>
      <c r="AK51" s="245">
        <f t="shared" si="43"/>
        <v>0</v>
      </c>
      <c r="AL51" s="245">
        <f t="shared" si="43"/>
        <v>0</v>
      </c>
    </row>
    <row r="52" spans="2:38" ht="14" hidden="1">
      <c r="B52" s="23" t="s">
        <v>88</v>
      </c>
      <c r="C52" s="245">
        <f t="shared" ref="C52:AG52" si="44">C25*C_CO2</f>
        <v>0.66524288500943607</v>
      </c>
      <c r="D52" s="245">
        <f t="shared" si="44"/>
        <v>0.99387558691283828</v>
      </c>
      <c r="E52" s="245">
        <f t="shared" si="44"/>
        <v>1.3774922362589983</v>
      </c>
      <c r="F52" s="245">
        <f t="shared" si="44"/>
        <v>1.7357988344464259</v>
      </c>
      <c r="G52" s="245">
        <f t="shared" si="44"/>
        <v>1.8935066432256773</v>
      </c>
      <c r="H52" s="245">
        <f t="shared" si="44"/>
        <v>2.3356110173588167</v>
      </c>
      <c r="I52" s="245">
        <f t="shared" si="44"/>
        <v>4.2271481455059892</v>
      </c>
      <c r="J52" s="245">
        <f t="shared" si="44"/>
        <v>8.6226138274823967</v>
      </c>
      <c r="K52" s="245">
        <f t="shared" si="44"/>
        <v>17.450515261394038</v>
      </c>
      <c r="L52" s="245">
        <f t="shared" si="44"/>
        <v>34.312448450979069</v>
      </c>
      <c r="M52" s="245">
        <f t="shared" si="44"/>
        <v>60.796598327289644</v>
      </c>
      <c r="N52" s="245">
        <f t="shared" si="44"/>
        <v>99.460571205696866</v>
      </c>
      <c r="O52" s="245">
        <f t="shared" si="44"/>
        <v>145.57892597546478</v>
      </c>
      <c r="P52" s="245">
        <f t="shared" si="44"/>
        <v>174.01289719079762</v>
      </c>
      <c r="Q52" s="245">
        <f t="shared" si="44"/>
        <v>205.53478277847475</v>
      </c>
      <c r="R52" s="245">
        <f t="shared" si="44"/>
        <v>231.10710256026948</v>
      </c>
      <c r="S52" s="245">
        <f t="shared" si="44"/>
        <v>262.83572156400066</v>
      </c>
      <c r="T52" s="245">
        <f t="shared" si="44"/>
        <v>280.90055405731493</v>
      </c>
      <c r="U52" s="245">
        <f t="shared" si="44"/>
        <v>309.15277345836517</v>
      </c>
      <c r="V52" s="245">
        <f t="shared" si="44"/>
        <v>353.84660514975377</v>
      </c>
      <c r="W52" s="245">
        <f t="shared" si="44"/>
        <v>410.28225508630658</v>
      </c>
      <c r="X52" s="245">
        <f t="shared" si="44"/>
        <v>412.3114596690753</v>
      </c>
      <c r="Y52" s="245">
        <f t="shared" si="44"/>
        <v>405.43390465811365</v>
      </c>
      <c r="Z52" s="245">
        <f t="shared" si="44"/>
        <v>418.4342952291139</v>
      </c>
      <c r="AA52" s="245">
        <f t="shared" si="44"/>
        <v>417.64932156079954</v>
      </c>
      <c r="AB52" s="245">
        <f t="shared" si="44"/>
        <v>468.25379315833146</v>
      </c>
      <c r="AC52" s="245">
        <f t="shared" si="44"/>
        <v>433.39138071762483</v>
      </c>
      <c r="AD52" s="245">
        <f t="shared" si="44"/>
        <v>479.19215253531991</v>
      </c>
      <c r="AE52" s="245">
        <f t="shared" si="44"/>
        <v>486.00735261355936</v>
      </c>
      <c r="AF52" s="245">
        <f t="shared" si="44"/>
        <v>506.08878796835836</v>
      </c>
      <c r="AG52" s="245">
        <f t="shared" si="44"/>
        <v>468.62492850571618</v>
      </c>
      <c r="AH52" s="245">
        <f t="shared" ref="AH52:AL52" si="45">AH25*C_CO2</f>
        <v>0</v>
      </c>
      <c r="AI52" s="245">
        <f t="shared" si="45"/>
        <v>0</v>
      </c>
      <c r="AJ52" s="245">
        <f t="shared" si="45"/>
        <v>0</v>
      </c>
      <c r="AK52" s="245">
        <f t="shared" si="45"/>
        <v>0</v>
      </c>
      <c r="AL52" s="245">
        <f t="shared" si="45"/>
        <v>0</v>
      </c>
    </row>
    <row r="53" spans="2:38" ht="14" hidden="1">
      <c r="B53" s="243" t="s">
        <v>90</v>
      </c>
      <c r="C53" s="246">
        <f t="shared" ref="C53:AG53" si="46">C27*C_CO2</f>
        <v>476336.83428537461</v>
      </c>
      <c r="D53" s="246">
        <f t="shared" si="46"/>
        <v>498675.11128338682</v>
      </c>
      <c r="E53" s="246">
        <f t="shared" si="46"/>
        <v>523521.98753647937</v>
      </c>
      <c r="F53" s="246">
        <f t="shared" si="46"/>
        <v>565563.19673120498</v>
      </c>
      <c r="G53" s="246">
        <f t="shared" si="46"/>
        <v>571556.79327165184</v>
      </c>
      <c r="H53" s="246">
        <f t="shared" si="46"/>
        <v>583693.87381057197</v>
      </c>
      <c r="I53" s="246">
        <f t="shared" si="46"/>
        <v>595886.15481909481</v>
      </c>
      <c r="J53" s="246">
        <f t="shared" si="46"/>
        <v>600841.01402459352</v>
      </c>
      <c r="K53" s="246">
        <f t="shared" si="46"/>
        <v>604892.19551243668</v>
      </c>
      <c r="L53" s="246">
        <f t="shared" si="46"/>
        <v>569501.2058344715</v>
      </c>
      <c r="M53" s="246">
        <f t="shared" si="46"/>
        <v>552731.95939584007</v>
      </c>
      <c r="N53" s="246">
        <f t="shared" si="46"/>
        <v>513507.09122797358</v>
      </c>
      <c r="O53" s="246">
        <f t="shared" si="46"/>
        <v>493132.80851292273</v>
      </c>
      <c r="P53" s="246">
        <f t="shared" si="46"/>
        <v>480538.16333608475</v>
      </c>
      <c r="Q53" s="246">
        <f t="shared" si="46"/>
        <v>453589.33114636882</v>
      </c>
      <c r="R53" s="246">
        <f t="shared" si="46"/>
        <v>441120.28807961429</v>
      </c>
      <c r="S53" s="246">
        <f t="shared" si="46"/>
        <v>408091.9392031809</v>
      </c>
      <c r="T53" s="246">
        <f t="shared" si="46"/>
        <v>353842.79980181897</v>
      </c>
      <c r="U53" s="246">
        <f t="shared" si="46"/>
        <v>331268.41707289388</v>
      </c>
      <c r="V53" s="246">
        <f t="shared" si="46"/>
        <v>292530.19852866302</v>
      </c>
      <c r="W53" s="246">
        <f t="shared" si="46"/>
        <v>313489.9769794505</v>
      </c>
      <c r="X53" s="246">
        <f t="shared" si="46"/>
        <v>297376.47596867691</v>
      </c>
      <c r="Y53" s="246">
        <f t="shared" si="46"/>
        <v>282073.57493153529</v>
      </c>
      <c r="Z53" s="246">
        <f t="shared" si="46"/>
        <v>263682.18655547546</v>
      </c>
      <c r="AA53" s="246">
        <f t="shared" si="46"/>
        <v>248826.46042245781</v>
      </c>
      <c r="AB53" s="246">
        <f t="shared" si="46"/>
        <v>224720.36482457211</v>
      </c>
      <c r="AC53" s="246">
        <f t="shared" si="46"/>
        <v>216921.90997168131</v>
      </c>
      <c r="AD53" s="246">
        <f t="shared" si="46"/>
        <v>207686.64623605472</v>
      </c>
      <c r="AE53" s="246">
        <f t="shared" si="46"/>
        <v>198400.1425492994</v>
      </c>
      <c r="AF53" s="246">
        <f t="shared" si="46"/>
        <v>202440.71976945628</v>
      </c>
      <c r="AG53" s="246">
        <f t="shared" si="46"/>
        <v>164211.59601181353</v>
      </c>
      <c r="AH53" s="246">
        <f t="shared" ref="AH53:AL53" si="47">AH27*C_CO2</f>
        <v>0</v>
      </c>
      <c r="AI53" s="246">
        <f t="shared" si="47"/>
        <v>0</v>
      </c>
      <c r="AJ53" s="246">
        <f t="shared" si="47"/>
        <v>0</v>
      </c>
      <c r="AK53" s="246">
        <f t="shared" si="47"/>
        <v>0</v>
      </c>
      <c r="AL53" s="246">
        <f t="shared" si="47"/>
        <v>0</v>
      </c>
    </row>
    <row r="54" spans="2:38" ht="15.5" hidden="1">
      <c r="B54" s="18" t="s">
        <v>91</v>
      </c>
      <c r="C54" s="18"/>
      <c r="D54" s="18"/>
      <c r="E54" s="18"/>
      <c r="F54" s="18"/>
      <c r="G54" s="18"/>
      <c r="H54" s="18"/>
      <c r="I54" s="247"/>
      <c r="J54" s="247"/>
      <c r="K54" s="247"/>
      <c r="L54" s="18"/>
      <c r="M54" s="248"/>
      <c r="N54" s="248"/>
      <c r="O54" s="248"/>
      <c r="P54" s="248"/>
      <c r="Q54" s="248"/>
      <c r="R54" s="18"/>
      <c r="S54" s="121"/>
      <c r="T54" s="121"/>
      <c r="U54" s="121"/>
      <c r="V54" s="121"/>
      <c r="W54" s="121"/>
      <c r="X54" s="121"/>
      <c r="Y54" s="121"/>
      <c r="Z54" s="121"/>
      <c r="AA54" s="121"/>
      <c r="AB54" s="121"/>
      <c r="AC54" s="121"/>
      <c r="AD54" s="121"/>
      <c r="AE54" s="121"/>
      <c r="AF54" s="121"/>
      <c r="AG54" s="121"/>
      <c r="AH54" s="121"/>
      <c r="AI54" s="121"/>
      <c r="AJ54" s="121"/>
      <c r="AK54" s="121"/>
      <c r="AL54" s="121"/>
    </row>
    <row r="55" spans="2:38" ht="15.5" hidden="1">
      <c r="B55" s="18"/>
      <c r="C55" s="18"/>
      <c r="D55" s="18"/>
      <c r="E55" s="18"/>
      <c r="F55" s="18"/>
      <c r="G55" s="18"/>
      <c r="H55" s="18"/>
      <c r="I55" s="247"/>
      <c r="J55" s="247"/>
      <c r="K55" s="247"/>
      <c r="L55" s="18"/>
      <c r="M55" s="248"/>
      <c r="N55" s="121"/>
      <c r="O55" s="121"/>
      <c r="P55" s="121"/>
      <c r="Q55" s="121"/>
      <c r="R55" s="121"/>
      <c r="S55" s="121"/>
      <c r="T55" s="121"/>
      <c r="U55" s="121"/>
      <c r="V55" s="121"/>
      <c r="W55" s="121"/>
      <c r="X55" s="121"/>
      <c r="Y55" s="121"/>
      <c r="Z55" s="121"/>
      <c r="AA55" s="121"/>
      <c r="AB55" s="121"/>
      <c r="AC55" s="121"/>
      <c r="AD55" s="121"/>
      <c r="AE55" s="121"/>
      <c r="AF55" s="121"/>
      <c r="AG55" s="121"/>
      <c r="AH55" s="121"/>
      <c r="AI55" s="121"/>
      <c r="AJ55" s="121"/>
      <c r="AK55" s="121"/>
      <c r="AL55" s="121"/>
    </row>
    <row r="56" spans="2:38" ht="16.5">
      <c r="B56" s="241" t="s">
        <v>93</v>
      </c>
      <c r="C56" s="18"/>
      <c r="D56" s="18"/>
      <c r="E56" s="18"/>
      <c r="F56" s="18"/>
      <c r="G56" s="18"/>
      <c r="H56" s="18"/>
      <c r="I56" s="18"/>
      <c r="J56" s="18"/>
      <c r="K56" s="242"/>
      <c r="L56" s="18"/>
      <c r="M56" s="18"/>
      <c r="N56" s="121"/>
      <c r="O56" s="121"/>
      <c r="P56" s="121"/>
      <c r="Q56" s="121"/>
      <c r="R56" s="121"/>
      <c r="S56" s="121"/>
      <c r="T56" s="121"/>
      <c r="U56" s="121"/>
      <c r="V56" s="121"/>
      <c r="W56" s="121"/>
      <c r="X56" s="121"/>
      <c r="Y56" s="121"/>
      <c r="Z56" s="121"/>
      <c r="AA56" s="121"/>
      <c r="AB56" s="121"/>
      <c r="AC56" s="121"/>
      <c r="AD56" s="121"/>
      <c r="AE56" s="121"/>
      <c r="AF56" s="121"/>
      <c r="AG56" s="121"/>
      <c r="AH56" s="121"/>
      <c r="AI56" s="121"/>
      <c r="AJ56" s="121"/>
      <c r="AK56" s="121"/>
      <c r="AL56" s="121"/>
    </row>
    <row r="57" spans="2:38" ht="14">
      <c r="B57" s="243" t="s">
        <v>71</v>
      </c>
      <c r="C57" s="243">
        <v>1990</v>
      </c>
      <c r="D57" s="243">
        <v>1991</v>
      </c>
      <c r="E57" s="243">
        <v>1992</v>
      </c>
      <c r="F57" s="243">
        <v>1993</v>
      </c>
      <c r="G57" s="243">
        <v>1994</v>
      </c>
      <c r="H57" s="243">
        <v>1995</v>
      </c>
      <c r="I57" s="243">
        <v>1996</v>
      </c>
      <c r="J57" s="243">
        <v>1997</v>
      </c>
      <c r="K57" s="243">
        <v>1998</v>
      </c>
      <c r="L57" s="243">
        <v>1999</v>
      </c>
      <c r="M57" s="243">
        <v>2000</v>
      </c>
      <c r="N57" s="243">
        <v>2001</v>
      </c>
      <c r="O57" s="243">
        <v>2002</v>
      </c>
      <c r="P57" s="243">
        <v>2003</v>
      </c>
      <c r="Q57" s="243">
        <v>2004</v>
      </c>
      <c r="R57" s="243">
        <v>2005</v>
      </c>
      <c r="S57" s="243">
        <v>2006</v>
      </c>
      <c r="T57" s="243">
        <v>2007</v>
      </c>
      <c r="U57" s="243">
        <v>2008</v>
      </c>
      <c r="V57" s="243">
        <v>2009</v>
      </c>
      <c r="W57" s="243">
        <v>2010</v>
      </c>
      <c r="X57" s="243">
        <v>2011</v>
      </c>
      <c r="Y57" s="243">
        <v>2012</v>
      </c>
      <c r="Z57" s="243">
        <v>2013</v>
      </c>
      <c r="AA57" s="243">
        <v>2014</v>
      </c>
      <c r="AB57" s="243">
        <v>2015</v>
      </c>
      <c r="AC57" s="243">
        <v>2016</v>
      </c>
      <c r="AD57" s="243">
        <v>2017</v>
      </c>
      <c r="AE57" s="243">
        <v>2018</v>
      </c>
      <c r="AF57" s="243">
        <v>2019</v>
      </c>
      <c r="AG57" s="243">
        <v>2020</v>
      </c>
      <c r="AH57" s="243">
        <v>2021</v>
      </c>
      <c r="AI57" s="243">
        <v>2022</v>
      </c>
      <c r="AJ57" s="243">
        <v>2023</v>
      </c>
      <c r="AK57" s="243">
        <v>2024</v>
      </c>
      <c r="AL57" s="243">
        <v>2025</v>
      </c>
    </row>
    <row r="58" spans="2:38" ht="14">
      <c r="B58" s="145" t="s">
        <v>72</v>
      </c>
      <c r="C58" s="244">
        <v>229491.85067994089</v>
      </c>
      <c r="D58" s="244">
        <v>227186.55934968666</v>
      </c>
      <c r="E58" s="244">
        <v>223301.45597360126</v>
      </c>
      <c r="F58" s="244">
        <v>219867.75693853444</v>
      </c>
      <c r="G58" s="244">
        <v>215893.68479323422</v>
      </c>
      <c r="H58" s="244">
        <v>209531.07633763208</v>
      </c>
      <c r="I58" s="244">
        <v>203465.78302720276</v>
      </c>
      <c r="J58" s="244">
        <v>195176.30471014563</v>
      </c>
      <c r="K58" s="244">
        <v>185800.36154816207</v>
      </c>
      <c r="L58" s="244">
        <v>157306.68468734916</v>
      </c>
      <c r="M58" s="244">
        <v>142731.82490645404</v>
      </c>
      <c r="N58" s="244">
        <v>128372.68005273156</v>
      </c>
      <c r="O58" s="244">
        <v>117794.21622841465</v>
      </c>
      <c r="P58" s="244">
        <v>108333.65643581405</v>
      </c>
      <c r="Q58" s="244">
        <v>100200.74364825284</v>
      </c>
      <c r="R58" s="244">
        <v>90089.727622111372</v>
      </c>
      <c r="S58" s="244">
        <v>79415.300941386915</v>
      </c>
      <c r="T58" s="244">
        <v>73535.881546543489</v>
      </c>
      <c r="U58" s="244">
        <v>67331.677476671</v>
      </c>
      <c r="V58" s="244">
        <v>61140.554097505308</v>
      </c>
      <c r="W58" s="244">
        <v>57575.429247863336</v>
      </c>
      <c r="X58" s="244">
        <v>53597.681638766226</v>
      </c>
      <c r="Y58" s="244">
        <v>48030.300110925426</v>
      </c>
      <c r="Z58" s="244">
        <v>43305.185427400153</v>
      </c>
      <c r="AA58" s="244">
        <v>38433.303210338017</v>
      </c>
      <c r="AB58" s="244">
        <v>34499.083988753162</v>
      </c>
      <c r="AC58" s="244">
        <v>33433.327159856155</v>
      </c>
      <c r="AD58" s="244">
        <v>30374.101900946182</v>
      </c>
      <c r="AE58" s="244">
        <v>27875.507958939976</v>
      </c>
      <c r="AF58" s="244">
        <v>29507.753718562239</v>
      </c>
      <c r="AG58" s="244">
        <v>21697.471093433574</v>
      </c>
      <c r="AH58" s="244">
        <v>0</v>
      </c>
      <c r="AI58" s="244">
        <v>0</v>
      </c>
      <c r="AJ58" s="244">
        <v>0</v>
      </c>
      <c r="AK58" s="244">
        <v>0</v>
      </c>
      <c r="AL58" s="244">
        <v>0</v>
      </c>
    </row>
    <row r="59" spans="2:38" ht="14">
      <c r="B59" s="23" t="s">
        <v>73</v>
      </c>
      <c r="C59" s="245">
        <v>140526.52877192182</v>
      </c>
      <c r="D59" s="245">
        <v>130724.24492888062</v>
      </c>
      <c r="E59" s="245">
        <v>125089.89693065995</v>
      </c>
      <c r="F59" s="245">
        <v>121278.20604791596</v>
      </c>
      <c r="G59" s="245">
        <v>119579.43692438978</v>
      </c>
      <c r="H59" s="245">
        <v>116514.3968019883</v>
      </c>
      <c r="I59" s="245">
        <v>113780.8609369718</v>
      </c>
      <c r="J59" s="245">
        <v>109304.43205478277</v>
      </c>
      <c r="K59" s="245">
        <v>104608.18718747885</v>
      </c>
      <c r="L59" s="245">
        <v>94218.722582556016</v>
      </c>
      <c r="M59" s="245">
        <v>84911.970707486616</v>
      </c>
      <c r="N59" s="245">
        <v>76136.530097412862</v>
      </c>
      <c r="O59" s="245">
        <v>68630.42270882045</v>
      </c>
      <c r="P59" s="245">
        <v>61443.740243956396</v>
      </c>
      <c r="Q59" s="245">
        <v>57077.071465277986</v>
      </c>
      <c r="R59" s="245">
        <v>50928.796451438473</v>
      </c>
      <c r="S59" s="245">
        <v>44827.433435055653</v>
      </c>
      <c r="T59" s="245">
        <v>40908.939582864245</v>
      </c>
      <c r="U59" s="245">
        <v>37040.808877994605</v>
      </c>
      <c r="V59" s="245">
        <v>43836.068513333077</v>
      </c>
      <c r="W59" s="245">
        <v>41134.039129363955</v>
      </c>
      <c r="X59" s="245">
        <v>38685.97563961229</v>
      </c>
      <c r="Y59" s="245">
        <v>34549.390290247873</v>
      </c>
      <c r="Z59" s="245">
        <v>31004.871980229185</v>
      </c>
      <c r="AA59" s="245">
        <v>26913.324275286399</v>
      </c>
      <c r="AB59" s="245">
        <v>24366.729268551524</v>
      </c>
      <c r="AC59" s="245">
        <v>22269.077035757477</v>
      </c>
      <c r="AD59" s="245">
        <v>20113.054080741469</v>
      </c>
      <c r="AE59" s="245">
        <v>18381.142271278361</v>
      </c>
      <c r="AF59" s="245">
        <v>19101.008309868994</v>
      </c>
      <c r="AG59" s="245">
        <v>13287.649814547009</v>
      </c>
      <c r="AH59" s="245">
        <v>0</v>
      </c>
      <c r="AI59" s="245">
        <v>0</v>
      </c>
      <c r="AJ59" s="245">
        <v>0</v>
      </c>
      <c r="AK59" s="245">
        <v>0</v>
      </c>
      <c r="AL59" s="245">
        <v>0</v>
      </c>
    </row>
    <row r="60" spans="2:38" ht="14">
      <c r="B60" s="23" t="s">
        <v>74</v>
      </c>
      <c r="C60" s="245">
        <v>75610.828592400285</v>
      </c>
      <c r="D60" s="245">
        <v>82523.843778000577</v>
      </c>
      <c r="E60" s="245">
        <v>84997.925978554296</v>
      </c>
      <c r="F60" s="245">
        <v>86183.899812969379</v>
      </c>
      <c r="G60" s="245">
        <v>83986.012166293818</v>
      </c>
      <c r="H60" s="245">
        <v>80926.896227486257</v>
      </c>
      <c r="I60" s="245">
        <v>78210.54965429155</v>
      </c>
      <c r="J60" s="245">
        <v>75408.145314136127</v>
      </c>
      <c r="K60" s="245">
        <v>71580.077640043732</v>
      </c>
      <c r="L60" s="245">
        <v>54308.433476019716</v>
      </c>
      <c r="M60" s="245">
        <v>50540.790963500862</v>
      </c>
      <c r="N60" s="245">
        <v>45992.29071196149</v>
      </c>
      <c r="O60" s="245">
        <v>43294.798915946601</v>
      </c>
      <c r="P60" s="245">
        <v>41380.125567861709</v>
      </c>
      <c r="Q60" s="245">
        <v>37874.863196913539</v>
      </c>
      <c r="R60" s="245">
        <v>34470.242964805162</v>
      </c>
      <c r="S60" s="245">
        <v>32941.578186775259</v>
      </c>
      <c r="T60" s="245">
        <v>31141.797729975402</v>
      </c>
      <c r="U60" s="245">
        <v>28930.142869718169</v>
      </c>
      <c r="V60" s="245">
        <v>15431.209684717296</v>
      </c>
      <c r="W60" s="245">
        <v>14870.291207454396</v>
      </c>
      <c r="X60" s="245">
        <v>13555.616899900508</v>
      </c>
      <c r="Y60" s="245">
        <v>12159.570516165695</v>
      </c>
      <c r="Z60" s="245">
        <v>11102.084355555307</v>
      </c>
      <c r="AA60" s="245">
        <v>10453.480738126047</v>
      </c>
      <c r="AB60" s="245">
        <v>9193.7045449535944</v>
      </c>
      <c r="AC60" s="245">
        <v>8772.7770038673334</v>
      </c>
      <c r="AD60" s="245">
        <v>8049.6476064876642</v>
      </c>
      <c r="AE60" s="245">
        <v>7416.9630259286787</v>
      </c>
      <c r="AF60" s="245">
        <v>8226.5186340807122</v>
      </c>
      <c r="AG60" s="245">
        <v>6825.9692500614774</v>
      </c>
      <c r="AH60" s="245">
        <v>0</v>
      </c>
      <c r="AI60" s="245">
        <v>0</v>
      </c>
      <c r="AJ60" s="245">
        <v>0</v>
      </c>
      <c r="AK60" s="245">
        <v>0</v>
      </c>
      <c r="AL60" s="245">
        <v>0</v>
      </c>
    </row>
    <row r="61" spans="2:38" ht="14">
      <c r="B61" s="23" t="s">
        <v>75</v>
      </c>
      <c r="C61" s="245">
        <v>12506.29154160353</v>
      </c>
      <c r="D61" s="245">
        <v>13068.935068440578</v>
      </c>
      <c r="E61" s="245">
        <v>12321.583002248564</v>
      </c>
      <c r="F61" s="245">
        <v>11492.847662749022</v>
      </c>
      <c r="G61" s="245">
        <v>11389.566878991631</v>
      </c>
      <c r="H61" s="245">
        <v>11138.22425904378</v>
      </c>
      <c r="I61" s="245">
        <v>10588.27246021206</v>
      </c>
      <c r="J61" s="245">
        <v>9619.8958231264169</v>
      </c>
      <c r="K61" s="245">
        <v>8788.1460867778314</v>
      </c>
      <c r="L61" s="245">
        <v>7904.5378876882078</v>
      </c>
      <c r="M61" s="245">
        <v>6450.5785203085215</v>
      </c>
      <c r="N61" s="245">
        <v>5506.2378024826703</v>
      </c>
      <c r="O61" s="245">
        <v>5147.3185295795984</v>
      </c>
      <c r="P61" s="245">
        <v>4801.7930249064011</v>
      </c>
      <c r="Q61" s="245">
        <v>4513.2252047645252</v>
      </c>
      <c r="R61" s="245">
        <v>3968.3309865649117</v>
      </c>
      <c r="S61" s="245">
        <v>1074.6652069639324</v>
      </c>
      <c r="T61" s="245">
        <v>1009.5160209195409</v>
      </c>
      <c r="U61" s="245">
        <v>957.00412250950706</v>
      </c>
      <c r="V61" s="245">
        <v>1331.1482160100456</v>
      </c>
      <c r="W61" s="245">
        <v>1133.0920039375176</v>
      </c>
      <c r="X61" s="245">
        <v>958.51854713218347</v>
      </c>
      <c r="Y61" s="245">
        <v>918.8430408193492</v>
      </c>
      <c r="Z61" s="245">
        <v>859.57764993363401</v>
      </c>
      <c r="AA61" s="245">
        <v>781.98283121988868</v>
      </c>
      <c r="AB61" s="245">
        <v>699.33398981008622</v>
      </c>
      <c r="AC61" s="245">
        <v>2174.8979889740376</v>
      </c>
      <c r="AD61" s="245">
        <v>2021.0705783550441</v>
      </c>
      <c r="AE61" s="245">
        <v>1914.6568713879899</v>
      </c>
      <c r="AF61" s="245">
        <v>1958.713316818734</v>
      </c>
      <c r="AG61" s="245">
        <v>1428.0827757255367</v>
      </c>
      <c r="AH61" s="245">
        <v>0</v>
      </c>
      <c r="AI61" s="245">
        <v>0</v>
      </c>
      <c r="AJ61" s="245">
        <v>0</v>
      </c>
      <c r="AK61" s="245">
        <v>0</v>
      </c>
      <c r="AL61" s="245">
        <v>0</v>
      </c>
    </row>
    <row r="62" spans="2:38" ht="14">
      <c r="B62" s="23" t="s">
        <v>76</v>
      </c>
      <c r="C62" s="245">
        <v>848.20177401525063</v>
      </c>
      <c r="D62" s="245">
        <v>869.53557436487972</v>
      </c>
      <c r="E62" s="245">
        <v>892.05006213843831</v>
      </c>
      <c r="F62" s="245">
        <v>912.80341490008914</v>
      </c>
      <c r="G62" s="245">
        <v>938.66882355897974</v>
      </c>
      <c r="H62" s="245">
        <v>951.55904911375569</v>
      </c>
      <c r="I62" s="245">
        <v>886.09997572734142</v>
      </c>
      <c r="J62" s="245">
        <v>843.83151810032996</v>
      </c>
      <c r="K62" s="245">
        <v>823.95063386166908</v>
      </c>
      <c r="L62" s="245">
        <v>874.99074108521927</v>
      </c>
      <c r="M62" s="245">
        <v>828.48471515804511</v>
      </c>
      <c r="N62" s="245">
        <v>737.62144087455965</v>
      </c>
      <c r="O62" s="245">
        <v>721.67607406800141</v>
      </c>
      <c r="P62" s="245">
        <v>707.99759908953877</v>
      </c>
      <c r="Q62" s="245">
        <v>735.58378129679215</v>
      </c>
      <c r="R62" s="245">
        <v>722.35721930281807</v>
      </c>
      <c r="S62" s="245">
        <v>571.62411259205487</v>
      </c>
      <c r="T62" s="245">
        <v>475.62821278429419</v>
      </c>
      <c r="U62" s="245">
        <v>403.7216064487186</v>
      </c>
      <c r="V62" s="245">
        <v>542.12768344490166</v>
      </c>
      <c r="W62" s="245">
        <v>438.00690710746915</v>
      </c>
      <c r="X62" s="245">
        <v>397.57055212124226</v>
      </c>
      <c r="Y62" s="245">
        <v>402.49626369251291</v>
      </c>
      <c r="Z62" s="245">
        <v>338.65144168202499</v>
      </c>
      <c r="AA62" s="245">
        <v>284.51536570568544</v>
      </c>
      <c r="AB62" s="245">
        <v>239.31618543796438</v>
      </c>
      <c r="AC62" s="245">
        <v>216.57513125730148</v>
      </c>
      <c r="AD62" s="245">
        <v>190.32963536200324</v>
      </c>
      <c r="AE62" s="245">
        <v>162.74579034495193</v>
      </c>
      <c r="AF62" s="245">
        <v>221.51345779379778</v>
      </c>
      <c r="AG62" s="245">
        <v>155.76925309954623</v>
      </c>
      <c r="AH62" s="245">
        <v>0</v>
      </c>
      <c r="AI62" s="245">
        <v>0</v>
      </c>
      <c r="AJ62" s="245">
        <v>0</v>
      </c>
      <c r="AK62" s="245">
        <v>0</v>
      </c>
      <c r="AL62" s="245">
        <v>0</v>
      </c>
    </row>
    <row r="63" spans="2:38" ht="14">
      <c r="B63" s="145" t="s">
        <v>77</v>
      </c>
      <c r="C63" s="244">
        <v>688.91173672709874</v>
      </c>
      <c r="D63" s="244">
        <v>707.58792679473993</v>
      </c>
      <c r="E63" s="244">
        <v>743.94940892718114</v>
      </c>
      <c r="F63" s="244">
        <v>758.98258213641839</v>
      </c>
      <c r="G63" s="244">
        <v>828.08648646719337</v>
      </c>
      <c r="H63" s="244">
        <v>874.83524318836839</v>
      </c>
      <c r="I63" s="244">
        <v>901.53328742894439</v>
      </c>
      <c r="J63" s="244">
        <v>951.06385853305301</v>
      </c>
      <c r="K63" s="244">
        <v>975.92207700751715</v>
      </c>
      <c r="L63" s="244">
        <v>1005.6624123652105</v>
      </c>
      <c r="M63" s="244">
        <v>1006.4922807356112</v>
      </c>
      <c r="N63" s="244">
        <v>1043.3668114245631</v>
      </c>
      <c r="O63" s="244">
        <v>1068.067966842551</v>
      </c>
      <c r="P63" s="244">
        <v>1069.6812969409705</v>
      </c>
      <c r="Q63" s="244">
        <v>1119.5564529535955</v>
      </c>
      <c r="R63" s="244">
        <v>1080.4978157478679</v>
      </c>
      <c r="S63" s="244">
        <v>1174.3091485411953</v>
      </c>
      <c r="T63" s="244">
        <v>1464.9631877331321</v>
      </c>
      <c r="U63" s="244">
        <v>1663.1731816268955</v>
      </c>
      <c r="V63" s="244">
        <v>2020.888304279493</v>
      </c>
      <c r="W63" s="244">
        <v>2132.7631221996048</v>
      </c>
      <c r="X63" s="244">
        <v>2121.799586964979</v>
      </c>
      <c r="Y63" s="244">
        <v>2340.3786540951742</v>
      </c>
      <c r="Z63" s="244">
        <v>2557.5325547018629</v>
      </c>
      <c r="AA63" s="244">
        <v>2746.7528258114116</v>
      </c>
      <c r="AB63" s="244">
        <v>2845.187715839802</v>
      </c>
      <c r="AC63" s="244">
        <v>2757.6310650711198</v>
      </c>
      <c r="AD63" s="244">
        <v>2871.093324567727</v>
      </c>
      <c r="AE63" s="244">
        <v>3073.2953937725333</v>
      </c>
      <c r="AF63" s="244">
        <v>2986.9217591023198</v>
      </c>
      <c r="AG63" s="244">
        <v>2685.2972863597629</v>
      </c>
      <c r="AH63" s="244">
        <v>0</v>
      </c>
      <c r="AI63" s="244">
        <v>0</v>
      </c>
      <c r="AJ63" s="244">
        <v>0</v>
      </c>
      <c r="AK63" s="244">
        <v>0</v>
      </c>
      <c r="AL63" s="244">
        <v>0</v>
      </c>
    </row>
    <row r="64" spans="2:38" ht="14">
      <c r="B64" s="23" t="s">
        <v>73</v>
      </c>
      <c r="C64" s="245">
        <v>7.6110802286501569</v>
      </c>
      <c r="D64" s="245">
        <v>6.8983388910651886</v>
      </c>
      <c r="E64" s="245">
        <v>6.6988270232206819</v>
      </c>
      <c r="F64" s="245">
        <v>6.5637606647001245</v>
      </c>
      <c r="G64" s="245">
        <v>6.3203973350111973</v>
      </c>
      <c r="H64" s="245">
        <v>5.9409867556000844</v>
      </c>
      <c r="I64" s="245">
        <v>5.7212146259688117</v>
      </c>
      <c r="J64" s="245">
        <v>5.6494773339957209</v>
      </c>
      <c r="K64" s="245">
        <v>5.3421634174097319</v>
      </c>
      <c r="L64" s="245">
        <v>5.4436205312584685</v>
      </c>
      <c r="M64" s="245">
        <v>5.1460286642537341</v>
      </c>
      <c r="N64" s="245">
        <v>4.541968010326169</v>
      </c>
      <c r="O64" s="245">
        <v>4.5985604052384295</v>
      </c>
      <c r="P64" s="245">
        <v>4.567531426001076</v>
      </c>
      <c r="Q64" s="245">
        <v>4.6640518013852077</v>
      </c>
      <c r="R64" s="245">
        <v>4.5567205557217019</v>
      </c>
      <c r="S64" s="245">
        <v>4.1203744028513807</v>
      </c>
      <c r="T64" s="245">
        <v>5.6249825846152772</v>
      </c>
      <c r="U64" s="245">
        <v>7.7763796910254905</v>
      </c>
      <c r="V64" s="245">
        <v>39.243070458746217</v>
      </c>
      <c r="W64" s="245">
        <v>82.469005106853871</v>
      </c>
      <c r="X64" s="245">
        <v>123.55477055005612</v>
      </c>
      <c r="Y64" s="245">
        <v>168.59750949103775</v>
      </c>
      <c r="Z64" s="245">
        <v>201.56303689340641</v>
      </c>
      <c r="AA64" s="245">
        <v>223.29098785436895</v>
      </c>
      <c r="AB64" s="245">
        <v>245.5661765026781</v>
      </c>
      <c r="AC64" s="245">
        <v>245.57036629717473</v>
      </c>
      <c r="AD64" s="245">
        <v>257.27375746208594</v>
      </c>
      <c r="AE64" s="245">
        <v>266.6970052878392</v>
      </c>
      <c r="AF64" s="245">
        <v>260.27717921244601</v>
      </c>
      <c r="AG64" s="245">
        <v>199.24441961928184</v>
      </c>
      <c r="AH64" s="245">
        <v>0</v>
      </c>
      <c r="AI64" s="245">
        <v>0</v>
      </c>
      <c r="AJ64" s="245">
        <v>0</v>
      </c>
      <c r="AK64" s="245">
        <v>0</v>
      </c>
      <c r="AL64" s="245">
        <v>0</v>
      </c>
    </row>
    <row r="65" spans="2:38" ht="14">
      <c r="B65" s="23" t="s">
        <v>74</v>
      </c>
      <c r="C65" s="245">
        <v>17.272425122404663</v>
      </c>
      <c r="D65" s="245">
        <v>19.086057628232783</v>
      </c>
      <c r="E65" s="245">
        <v>20.848642901526393</v>
      </c>
      <c r="F65" s="245">
        <v>22.500184742881338</v>
      </c>
      <c r="G65" s="245">
        <v>23.160267071534605</v>
      </c>
      <c r="H65" s="245">
        <v>23.713177499463914</v>
      </c>
      <c r="I65" s="245">
        <v>24.592859090762023</v>
      </c>
      <c r="J65" s="245">
        <v>25.896411883838056</v>
      </c>
      <c r="K65" s="245">
        <v>26.130683514675695</v>
      </c>
      <c r="L65" s="245">
        <v>26.535045205544147</v>
      </c>
      <c r="M65" s="245">
        <v>26.891097560916425</v>
      </c>
      <c r="N65" s="245">
        <v>26.555844971380228</v>
      </c>
      <c r="O65" s="245">
        <v>27.237676631489641</v>
      </c>
      <c r="P65" s="245">
        <v>28.077146195072793</v>
      </c>
      <c r="Q65" s="245">
        <v>28.515035388887735</v>
      </c>
      <c r="R65" s="245">
        <v>28.46609270929698</v>
      </c>
      <c r="S65" s="245">
        <v>32.271711602578755</v>
      </c>
      <c r="T65" s="245">
        <v>171.76645379340943</v>
      </c>
      <c r="U65" s="245">
        <v>293.49221560886798</v>
      </c>
      <c r="V65" s="245">
        <v>188.73659574779376</v>
      </c>
      <c r="W65" s="245">
        <v>217.3400803327053</v>
      </c>
      <c r="X65" s="245">
        <v>244.56280583837918</v>
      </c>
      <c r="Y65" s="245">
        <v>299.89987339864962</v>
      </c>
      <c r="Z65" s="245">
        <v>352.81740944821036</v>
      </c>
      <c r="AA65" s="245">
        <v>419.78084942542853</v>
      </c>
      <c r="AB65" s="245">
        <v>453.95094509073118</v>
      </c>
      <c r="AC65" s="245">
        <v>481.99430811718605</v>
      </c>
      <c r="AD65" s="245">
        <v>520.27795522041049</v>
      </c>
      <c r="AE65" s="245">
        <v>547.47374106728444</v>
      </c>
      <c r="AF65" s="245">
        <v>493.50117441107682</v>
      </c>
      <c r="AG65" s="245">
        <v>471.39780344444659</v>
      </c>
      <c r="AH65" s="245">
        <v>0</v>
      </c>
      <c r="AI65" s="245">
        <v>0</v>
      </c>
      <c r="AJ65" s="245">
        <v>0</v>
      </c>
      <c r="AK65" s="245">
        <v>0</v>
      </c>
      <c r="AL65" s="245">
        <v>0</v>
      </c>
    </row>
    <row r="66" spans="2:38" ht="14">
      <c r="B66" s="23" t="s">
        <v>75</v>
      </c>
      <c r="C66" s="245">
        <v>622.3504728317497</v>
      </c>
      <c r="D66" s="245">
        <v>639.26055016025362</v>
      </c>
      <c r="E66" s="245">
        <v>674.22923509017221</v>
      </c>
      <c r="F66" s="245">
        <v>685.16603157183897</v>
      </c>
      <c r="G66" s="245">
        <v>751.70238760285974</v>
      </c>
      <c r="H66" s="245">
        <v>798.49613180712049</v>
      </c>
      <c r="I66" s="245">
        <v>823.3542475453819</v>
      </c>
      <c r="J66" s="245">
        <v>869.82910071972992</v>
      </c>
      <c r="K66" s="245">
        <v>893.84002118998296</v>
      </c>
      <c r="L66" s="245">
        <v>919.17771751284226</v>
      </c>
      <c r="M66" s="245">
        <v>921.60044056494962</v>
      </c>
      <c r="N66" s="245">
        <v>964.21223054558823</v>
      </c>
      <c r="O66" s="245">
        <v>990.11382074708081</v>
      </c>
      <c r="P66" s="245">
        <v>991.70213961016907</v>
      </c>
      <c r="Q66" s="245">
        <v>1041.2711411254033</v>
      </c>
      <c r="R66" s="245">
        <v>1002.4068020523297</v>
      </c>
      <c r="S66" s="245">
        <v>1095.2236886008795</v>
      </c>
      <c r="T66" s="245">
        <v>1187.4801798055394</v>
      </c>
      <c r="U66" s="245">
        <v>1253.8471283028264</v>
      </c>
      <c r="V66" s="245">
        <v>1684.6363339361897</v>
      </c>
      <c r="W66" s="245">
        <v>1727.7031212663583</v>
      </c>
      <c r="X66" s="245">
        <v>1645.4072182944662</v>
      </c>
      <c r="Y66" s="245">
        <v>1751.6601547680561</v>
      </c>
      <c r="Z66" s="245">
        <v>1876.0034392314126</v>
      </c>
      <c r="AA66" s="245">
        <v>1967.0903173170034</v>
      </c>
      <c r="AB66" s="245">
        <v>2006.4702299099129</v>
      </c>
      <c r="AC66" s="245">
        <v>1886.7567130211619</v>
      </c>
      <c r="AD66" s="245">
        <v>1941.0085948760373</v>
      </c>
      <c r="AE66" s="245">
        <v>2093.6208910183273</v>
      </c>
      <c r="AF66" s="245">
        <v>2061.3169196434264</v>
      </c>
      <c r="AG66" s="245">
        <v>1888.2502941597993</v>
      </c>
      <c r="AH66" s="245">
        <v>0</v>
      </c>
      <c r="AI66" s="245">
        <v>0</v>
      </c>
      <c r="AJ66" s="245">
        <v>0</v>
      </c>
      <c r="AK66" s="245">
        <v>0</v>
      </c>
      <c r="AL66" s="245">
        <v>0</v>
      </c>
    </row>
    <row r="67" spans="2:38" ht="14">
      <c r="B67" s="23" t="s">
        <v>378</v>
      </c>
      <c r="C67" s="245">
        <v>41.677758544294122</v>
      </c>
      <c r="D67" s="245">
        <v>42.34298011518834</v>
      </c>
      <c r="E67" s="245">
        <v>42.172703912261881</v>
      </c>
      <c r="F67" s="245">
        <v>44.75260515699793</v>
      </c>
      <c r="G67" s="245">
        <v>46.903434457787718</v>
      </c>
      <c r="H67" s="245">
        <v>46.684947126183907</v>
      </c>
      <c r="I67" s="245">
        <v>47.864966166831664</v>
      </c>
      <c r="J67" s="245">
        <v>49.688868595489247</v>
      </c>
      <c r="K67" s="245">
        <v>50.609208885448609</v>
      </c>
      <c r="L67" s="245">
        <v>54.506029115565504</v>
      </c>
      <c r="M67" s="245">
        <v>52.854713945491369</v>
      </c>
      <c r="N67" s="245">
        <v>48.056767897268429</v>
      </c>
      <c r="O67" s="245">
        <v>46.1179090587422</v>
      </c>
      <c r="P67" s="245">
        <v>45.334479709727432</v>
      </c>
      <c r="Q67" s="245">
        <v>45.106224637919112</v>
      </c>
      <c r="R67" s="245">
        <v>45.068200430519532</v>
      </c>
      <c r="S67" s="245">
        <v>42.693373934885884</v>
      </c>
      <c r="T67" s="245">
        <v>100.0915715495682</v>
      </c>
      <c r="U67" s="245">
        <v>108.05745802417563</v>
      </c>
      <c r="V67" s="245">
        <v>108.27230413676348</v>
      </c>
      <c r="W67" s="245">
        <v>105.25091549368734</v>
      </c>
      <c r="X67" s="245">
        <v>108.27479228207774</v>
      </c>
      <c r="Y67" s="245">
        <v>120.22111643743072</v>
      </c>
      <c r="Z67" s="245">
        <v>127.14866912883342</v>
      </c>
      <c r="AA67" s="245">
        <v>136.59067121461064</v>
      </c>
      <c r="AB67" s="245">
        <v>139.20036433648013</v>
      </c>
      <c r="AC67" s="245">
        <v>143.30967763559718</v>
      </c>
      <c r="AD67" s="245">
        <v>152.53301700919346</v>
      </c>
      <c r="AE67" s="245">
        <v>165.50375639908242</v>
      </c>
      <c r="AF67" s="245">
        <v>171.82648583537068</v>
      </c>
      <c r="AG67" s="245">
        <v>126.40476913623517</v>
      </c>
      <c r="AH67" s="245">
        <v>0</v>
      </c>
      <c r="AI67" s="245">
        <v>0</v>
      </c>
      <c r="AJ67" s="245">
        <v>0</v>
      </c>
      <c r="AK67" s="245">
        <v>0</v>
      </c>
      <c r="AL67" s="245">
        <v>0</v>
      </c>
    </row>
    <row r="68" spans="2:38" ht="14">
      <c r="B68" s="145" t="s">
        <v>78</v>
      </c>
      <c r="C68" s="244">
        <v>28845.067067305314</v>
      </c>
      <c r="D68" s="244">
        <v>28168.238872653663</v>
      </c>
      <c r="E68" s="244">
        <v>28846.288576817642</v>
      </c>
      <c r="F68" s="244">
        <v>40242.363988839148</v>
      </c>
      <c r="G68" s="244">
        <v>34969.90363138391</v>
      </c>
      <c r="H68" s="244">
        <v>36989.465084018251</v>
      </c>
      <c r="I68" s="244">
        <v>37465.640929720859</v>
      </c>
      <c r="J68" s="244">
        <v>36632.520546392123</v>
      </c>
      <c r="K68" s="244">
        <v>38267.584073010403</v>
      </c>
      <c r="L68" s="244">
        <v>39773.288778906564</v>
      </c>
      <c r="M68" s="244">
        <v>42086.1772707075</v>
      </c>
      <c r="N68" s="244">
        <v>40811.288100451195</v>
      </c>
      <c r="O68" s="244">
        <v>42297.052704894493</v>
      </c>
      <c r="P68" s="244">
        <v>47772.493889633311</v>
      </c>
      <c r="Q68" s="244">
        <v>43318.700770947602</v>
      </c>
      <c r="R68" s="244">
        <v>53792.302885044905</v>
      </c>
      <c r="S68" s="244">
        <v>51664.010084786911</v>
      </c>
      <c r="T68" s="244">
        <v>38022.422832631426</v>
      </c>
      <c r="U68" s="244">
        <v>37660.974921289482</v>
      </c>
      <c r="V68" s="244">
        <v>33133.933206895657</v>
      </c>
      <c r="W68" s="244">
        <v>50338.434641238753</v>
      </c>
      <c r="X68" s="244">
        <v>48799.258299196634</v>
      </c>
      <c r="Y68" s="244">
        <v>51497.387637496584</v>
      </c>
      <c r="Z68" s="244">
        <v>50200.772537376193</v>
      </c>
      <c r="AA68" s="244">
        <v>50935.680221026771</v>
      </c>
      <c r="AB68" s="244">
        <v>48998.990159124471</v>
      </c>
      <c r="AC68" s="244">
        <v>50270.787534369447</v>
      </c>
      <c r="AD68" s="244">
        <v>52203.822156186863</v>
      </c>
      <c r="AE68" s="244">
        <v>53032.795563248947</v>
      </c>
      <c r="AF68" s="244">
        <v>52090.897784846275</v>
      </c>
      <c r="AG68" s="244">
        <v>46323.942445747161</v>
      </c>
      <c r="AH68" s="244">
        <v>0</v>
      </c>
      <c r="AI68" s="244">
        <v>0</v>
      </c>
      <c r="AJ68" s="244">
        <v>0</v>
      </c>
      <c r="AK68" s="244">
        <v>0</v>
      </c>
      <c r="AL68" s="244">
        <v>0</v>
      </c>
    </row>
    <row r="69" spans="2:38" ht="14">
      <c r="B69" s="23" t="s">
        <v>79</v>
      </c>
      <c r="C69" s="245">
        <v>2551.3375920238736</v>
      </c>
      <c r="D69" s="245">
        <v>3234.6157183718174</v>
      </c>
      <c r="E69" s="245">
        <v>2635.3745488577033</v>
      </c>
      <c r="F69" s="245">
        <v>2373.9919030863566</v>
      </c>
      <c r="G69" s="245">
        <v>2472.9177523185608</v>
      </c>
      <c r="H69" s="245">
        <v>2877.7491092129858</v>
      </c>
      <c r="I69" s="245">
        <v>2640.3067087488989</v>
      </c>
      <c r="J69" s="245">
        <v>2712.5544398501902</v>
      </c>
      <c r="K69" s="245">
        <v>2636.567818169874</v>
      </c>
      <c r="L69" s="245">
        <v>2979.9373529709937</v>
      </c>
      <c r="M69" s="245">
        <v>3089.9688550037504</v>
      </c>
      <c r="N69" s="245">
        <v>3373.5792633644037</v>
      </c>
      <c r="O69" s="245">
        <v>3271.2186269439194</v>
      </c>
      <c r="P69" s="245">
        <v>3856.1790980557125</v>
      </c>
      <c r="Q69" s="245">
        <v>72.61296772965251</v>
      </c>
      <c r="R69" s="245">
        <v>3647.9863658500112</v>
      </c>
      <c r="S69" s="245">
        <v>3989.4618727853212</v>
      </c>
      <c r="T69" s="245">
        <v>3655.991391673494</v>
      </c>
      <c r="U69" s="245">
        <v>3486.1644808930214</v>
      </c>
      <c r="V69" s="245">
        <v>3437.0298193209965</v>
      </c>
      <c r="W69" s="245">
        <v>3525.0619084621644</v>
      </c>
      <c r="X69" s="245">
        <v>3279.1406706546773</v>
      </c>
      <c r="Y69" s="245">
        <v>3426.5674790989874</v>
      </c>
      <c r="Z69" s="245">
        <v>3551.3946701630939</v>
      </c>
      <c r="AA69" s="245">
        <v>2865.8361557477065</v>
      </c>
      <c r="AB69" s="245">
        <v>4973.5768603532333</v>
      </c>
      <c r="AC69" s="245">
        <v>4972.2857246669228</v>
      </c>
      <c r="AD69" s="245">
        <v>5019.9627926666963</v>
      </c>
      <c r="AE69" s="245">
        <v>4898.9662980871963</v>
      </c>
      <c r="AF69" s="245">
        <v>4889.5766535446674</v>
      </c>
      <c r="AG69" s="245">
        <v>5087.6372457245834</v>
      </c>
      <c r="AH69" s="245">
        <v>0</v>
      </c>
      <c r="AI69" s="245">
        <v>0</v>
      </c>
      <c r="AJ69" s="245">
        <v>0</v>
      </c>
      <c r="AK69" s="245">
        <v>0</v>
      </c>
      <c r="AL69" s="245">
        <v>0</v>
      </c>
    </row>
    <row r="70" spans="2:38" ht="14">
      <c r="B70" s="23" t="s">
        <v>80</v>
      </c>
      <c r="C70" s="245">
        <v>3651.9483</v>
      </c>
      <c r="D70" s="245">
        <v>2982.4044250000006</v>
      </c>
      <c r="E70" s="245">
        <v>2862.9100499999995</v>
      </c>
      <c r="F70" s="245">
        <v>3042.3142749999997</v>
      </c>
      <c r="G70" s="245">
        <v>3478.0245500000001</v>
      </c>
      <c r="H70" s="245">
        <v>4577.5479749999986</v>
      </c>
      <c r="I70" s="245">
        <v>5024.9699499999997</v>
      </c>
      <c r="J70" s="245">
        <v>3744.5407999999989</v>
      </c>
      <c r="K70" s="245">
        <v>2610.9333250000004</v>
      </c>
      <c r="L70" s="245">
        <v>3087.0089249999996</v>
      </c>
      <c r="M70" s="245">
        <v>2664.2115500000004</v>
      </c>
      <c r="N70" s="245">
        <v>1862.2604000000001</v>
      </c>
      <c r="O70" s="245">
        <v>2617.2896750000004</v>
      </c>
      <c r="P70" s="245">
        <v>5049.6195749999997</v>
      </c>
      <c r="Q70" s="245">
        <v>1699.2725750000002</v>
      </c>
      <c r="R70" s="245">
        <v>1575.5489750000002</v>
      </c>
      <c r="S70" s="245">
        <v>1116.7656500000001</v>
      </c>
      <c r="T70" s="245">
        <v>1104.2281250000003</v>
      </c>
      <c r="U70" s="245">
        <v>1362.736375</v>
      </c>
      <c r="V70" s="245">
        <v>1575.5740000000001</v>
      </c>
      <c r="W70" s="245">
        <v>2227.9256999999998</v>
      </c>
      <c r="X70" s="245">
        <v>1657.0804249999999</v>
      </c>
      <c r="Y70" s="245">
        <v>1873.0461749999999</v>
      </c>
      <c r="Z70" s="245">
        <v>2078.1510750000002</v>
      </c>
      <c r="AA70" s="245">
        <v>3802.4236250000004</v>
      </c>
      <c r="AB70" s="245">
        <v>5194.7145250000003</v>
      </c>
      <c r="AC70" s="245">
        <v>6057.2261750000007</v>
      </c>
      <c r="AD70" s="245">
        <v>7381.0987249999989</v>
      </c>
      <c r="AE70" s="245">
        <v>7863.0802249999997</v>
      </c>
      <c r="AF70" s="245">
        <v>7283.6513749999995</v>
      </c>
      <c r="AG70" s="245">
        <v>5840.3344999999999</v>
      </c>
      <c r="AH70" s="245">
        <v>0</v>
      </c>
      <c r="AI70" s="245">
        <v>0</v>
      </c>
      <c r="AJ70" s="245">
        <v>0</v>
      </c>
      <c r="AK70" s="245">
        <v>0</v>
      </c>
      <c r="AL70" s="245">
        <v>0</v>
      </c>
    </row>
    <row r="71" spans="2:38" ht="14">
      <c r="B71" s="23" t="s">
        <v>81</v>
      </c>
      <c r="C71" s="245">
        <v>8975.9957108110848</v>
      </c>
      <c r="D71" s="245">
        <v>8095.8216326937718</v>
      </c>
      <c r="E71" s="245">
        <v>8792.1916493761419</v>
      </c>
      <c r="F71" s="245">
        <v>8215.6159839446173</v>
      </c>
      <c r="G71" s="245">
        <v>8104.9584030947781</v>
      </c>
      <c r="H71" s="245">
        <v>9661.2884782574056</v>
      </c>
      <c r="I71" s="245">
        <v>9069.5861460223805</v>
      </c>
      <c r="J71" s="245">
        <v>9159.0101900425616</v>
      </c>
      <c r="K71" s="245">
        <v>9033.4255436066887</v>
      </c>
      <c r="L71" s="245">
        <v>6506.7700305224407</v>
      </c>
      <c r="M71" s="245">
        <v>7150.394321454366</v>
      </c>
      <c r="N71" s="245">
        <v>6725.1392416342878</v>
      </c>
      <c r="O71" s="245">
        <v>6700.1551017058628</v>
      </c>
      <c r="P71" s="245">
        <v>7113.1510647955329</v>
      </c>
      <c r="Q71" s="245">
        <v>7430.8599242476794</v>
      </c>
      <c r="R71" s="245">
        <v>7520.3340615732777</v>
      </c>
      <c r="S71" s="245">
        <v>8495.983856277704</v>
      </c>
      <c r="T71" s="245">
        <v>8395.3754099964353</v>
      </c>
      <c r="U71" s="245">
        <v>9049.4486373529289</v>
      </c>
      <c r="V71" s="245">
        <v>5958.145276690112</v>
      </c>
      <c r="W71" s="245">
        <v>6598.631308478738</v>
      </c>
      <c r="X71" s="245">
        <v>6976.3441146666182</v>
      </c>
      <c r="Y71" s="245">
        <v>7088.9244284941187</v>
      </c>
      <c r="Z71" s="245">
        <v>7403.4389030394768</v>
      </c>
      <c r="AA71" s="245">
        <v>7875.6659320571562</v>
      </c>
      <c r="AB71" s="245">
        <v>7038.425124079542</v>
      </c>
      <c r="AC71" s="245">
        <v>7103.9872989645191</v>
      </c>
      <c r="AD71" s="245">
        <v>7045.9453625050928</v>
      </c>
      <c r="AE71" s="245">
        <v>7317.2762674381793</v>
      </c>
      <c r="AF71" s="245">
        <v>6497.0893106484436</v>
      </c>
      <c r="AG71" s="245">
        <v>7288.3822568108553</v>
      </c>
      <c r="AH71" s="245">
        <v>0</v>
      </c>
      <c r="AI71" s="245">
        <v>0</v>
      </c>
      <c r="AJ71" s="245">
        <v>0</v>
      </c>
      <c r="AK71" s="245">
        <v>0</v>
      </c>
      <c r="AL71" s="245">
        <v>0</v>
      </c>
    </row>
    <row r="72" spans="2:38" ht="14">
      <c r="B72" s="23" t="s">
        <v>82</v>
      </c>
      <c r="C72" s="245">
        <v>6759.2733916589859</v>
      </c>
      <c r="D72" s="245">
        <v>6058.9736934612529</v>
      </c>
      <c r="E72" s="245">
        <v>6314.2821325254417</v>
      </c>
      <c r="F72" s="245">
        <v>6907.8857230310377</v>
      </c>
      <c r="G72" s="245">
        <v>6899.9629103583648</v>
      </c>
      <c r="H72" s="245">
        <v>5609.6547187767383</v>
      </c>
      <c r="I72" s="245">
        <v>6001.0835656638001</v>
      </c>
      <c r="J72" s="245">
        <v>5848.776878712637</v>
      </c>
      <c r="K72" s="245">
        <v>5481.8520555702144</v>
      </c>
      <c r="L72" s="245">
        <v>5739.336749186491</v>
      </c>
      <c r="M72" s="245">
        <v>5574.663450114439</v>
      </c>
      <c r="N72" s="245">
        <v>6676.1982036262589</v>
      </c>
      <c r="O72" s="245">
        <v>8125.3625139994865</v>
      </c>
      <c r="P72" s="245">
        <v>9736.4363188918378</v>
      </c>
      <c r="Q72" s="245">
        <v>8625.0882862024682</v>
      </c>
      <c r="R72" s="245">
        <v>10469.643287785859</v>
      </c>
      <c r="S72" s="245">
        <v>10473.40809878361</v>
      </c>
      <c r="T72" s="245">
        <v>8888.9629039071569</v>
      </c>
      <c r="U72" s="245">
        <v>7954.9406724408873</v>
      </c>
      <c r="V72" s="245">
        <v>7547.0859190415158</v>
      </c>
      <c r="W72" s="245">
        <v>7886.8231564677844</v>
      </c>
      <c r="X72" s="245">
        <v>8876.2012371424007</v>
      </c>
      <c r="Y72" s="245">
        <v>7917.9895484665522</v>
      </c>
      <c r="Z72" s="245">
        <v>9560.5582886478842</v>
      </c>
      <c r="AA72" s="245">
        <v>8156.471000411776</v>
      </c>
      <c r="AB72" s="245">
        <v>4550.4723610844503</v>
      </c>
      <c r="AC72" s="245">
        <v>4686.1379247280083</v>
      </c>
      <c r="AD72" s="245">
        <v>5050.2032599550539</v>
      </c>
      <c r="AE72" s="245">
        <v>5208.4300943990484</v>
      </c>
      <c r="AF72" s="245">
        <v>5335.9550551332732</v>
      </c>
      <c r="AG72" s="245">
        <v>4953.093344842946</v>
      </c>
      <c r="AH72" s="245">
        <v>0</v>
      </c>
      <c r="AI72" s="245">
        <v>0</v>
      </c>
      <c r="AJ72" s="245">
        <v>0</v>
      </c>
      <c r="AK72" s="245">
        <v>0</v>
      </c>
      <c r="AL72" s="245">
        <v>0</v>
      </c>
    </row>
    <row r="73" spans="2:38" ht="14">
      <c r="B73" s="23" t="s">
        <v>83</v>
      </c>
      <c r="C73" s="245">
        <v>2575.9902444259196</v>
      </c>
      <c r="D73" s="245">
        <v>3439.2515676892808</v>
      </c>
      <c r="E73" s="245">
        <v>3734.6309400892796</v>
      </c>
      <c r="F73" s="245">
        <v>4735.3683593596807</v>
      </c>
      <c r="G73" s="245">
        <v>4649.1298757971208</v>
      </c>
      <c r="H73" s="245">
        <v>4968.2231569151982</v>
      </c>
      <c r="I73" s="245">
        <v>5387.3227178265597</v>
      </c>
      <c r="J73" s="245">
        <v>5476.6347627801606</v>
      </c>
      <c r="K73" s="245">
        <v>5439.1279194470408</v>
      </c>
      <c r="L73" s="245">
        <v>7033.1248681881616</v>
      </c>
      <c r="M73" s="245">
        <v>8268.3048735436805</v>
      </c>
      <c r="N73" s="245">
        <v>6671.8763684966398</v>
      </c>
      <c r="O73" s="245">
        <v>5708.8831258368</v>
      </c>
      <c r="P73" s="245">
        <v>5451.0019219353608</v>
      </c>
      <c r="Q73" s="245">
        <v>8088.9475809945607</v>
      </c>
      <c r="R73" s="245">
        <v>12947.05501641216</v>
      </c>
      <c r="S73" s="245">
        <v>9468.0877038182371</v>
      </c>
      <c r="T73" s="245">
        <v>9732.2788246118398</v>
      </c>
      <c r="U73" s="245">
        <v>9346.4683345151971</v>
      </c>
      <c r="V73" s="245">
        <v>8168.5522426367997</v>
      </c>
      <c r="W73" s="245">
        <v>9515.0427423743986</v>
      </c>
      <c r="X73" s="245">
        <v>9557.8448163071989</v>
      </c>
      <c r="Y73" s="245">
        <v>9047.460668359683</v>
      </c>
      <c r="Z73" s="245">
        <v>9059.0164010035205</v>
      </c>
      <c r="AA73" s="245">
        <v>9260.3224202496003</v>
      </c>
      <c r="AB73" s="245">
        <v>10047.426867824639</v>
      </c>
      <c r="AC73" s="245">
        <v>10178.656667397119</v>
      </c>
      <c r="AD73" s="245">
        <v>10261.379737512962</v>
      </c>
      <c r="AE73" s="245">
        <v>10157.13456382464</v>
      </c>
      <c r="AF73" s="245">
        <v>10318.83532839936</v>
      </c>
      <c r="AG73" s="245">
        <v>6303.3097607424006</v>
      </c>
      <c r="AH73" s="245">
        <v>0</v>
      </c>
      <c r="AI73" s="245">
        <v>0</v>
      </c>
      <c r="AJ73" s="245">
        <v>0</v>
      </c>
      <c r="AK73" s="245">
        <v>0</v>
      </c>
      <c r="AL73" s="245">
        <v>0</v>
      </c>
    </row>
    <row r="74" spans="2:38" ht="14">
      <c r="B74" s="23" t="s">
        <v>84</v>
      </c>
      <c r="C74" s="245">
        <v>4330.5218283854492</v>
      </c>
      <c r="D74" s="245">
        <v>4357.1718354375389</v>
      </c>
      <c r="E74" s="245">
        <v>4506.8992559690778</v>
      </c>
      <c r="F74" s="245">
        <v>14967.187744417448</v>
      </c>
      <c r="G74" s="245">
        <v>9364.9101398150869</v>
      </c>
      <c r="H74" s="245">
        <v>9295.0016458559257</v>
      </c>
      <c r="I74" s="245">
        <v>9342.3718414592222</v>
      </c>
      <c r="J74" s="245">
        <v>9691.0034750065734</v>
      </c>
      <c r="K74" s="245">
        <v>13065.677411216589</v>
      </c>
      <c r="L74" s="245">
        <v>14427.110853038472</v>
      </c>
      <c r="M74" s="245">
        <v>15338.634220591266</v>
      </c>
      <c r="N74" s="245">
        <v>15502.234623329608</v>
      </c>
      <c r="O74" s="245">
        <v>15874.143661408421</v>
      </c>
      <c r="P74" s="245">
        <v>16566.105910954866</v>
      </c>
      <c r="Q74" s="245">
        <v>17401.919436773242</v>
      </c>
      <c r="R74" s="245">
        <v>17631.735178423602</v>
      </c>
      <c r="S74" s="245">
        <v>18120.302903122036</v>
      </c>
      <c r="T74" s="245">
        <v>6245.5861774425057</v>
      </c>
      <c r="U74" s="245">
        <v>6461.2164210874453</v>
      </c>
      <c r="V74" s="245">
        <v>6447.5459492062337</v>
      </c>
      <c r="W74" s="245">
        <v>20584.949825455664</v>
      </c>
      <c r="X74" s="245">
        <v>18452.647035425736</v>
      </c>
      <c r="Y74" s="245">
        <v>22143.399338077241</v>
      </c>
      <c r="Z74" s="245">
        <v>18548.213199522223</v>
      </c>
      <c r="AA74" s="245">
        <v>18974.961087560529</v>
      </c>
      <c r="AB74" s="245">
        <v>17194.374420782602</v>
      </c>
      <c r="AC74" s="245">
        <v>17272.493743612871</v>
      </c>
      <c r="AD74" s="245">
        <v>17445.232278547057</v>
      </c>
      <c r="AE74" s="245">
        <v>17587.908114499885</v>
      </c>
      <c r="AF74" s="245">
        <v>17765.790062120526</v>
      </c>
      <c r="AG74" s="245">
        <v>16851.185337626379</v>
      </c>
      <c r="AH74" s="245">
        <v>0</v>
      </c>
      <c r="AI74" s="245">
        <v>0</v>
      </c>
      <c r="AJ74" s="245">
        <v>0</v>
      </c>
      <c r="AK74" s="245">
        <v>0</v>
      </c>
      <c r="AL74" s="245">
        <v>0</v>
      </c>
    </row>
    <row r="75" spans="2:38" ht="14">
      <c r="B75" s="145" t="s">
        <v>85</v>
      </c>
      <c r="C75" s="244">
        <v>2.1946784041136271</v>
      </c>
      <c r="D75" s="244">
        <v>2.4597608043027126</v>
      </c>
      <c r="E75" s="244">
        <v>2.5372864113088598</v>
      </c>
      <c r="F75" s="244">
        <v>3.3071036557407316</v>
      </c>
      <c r="G75" s="244">
        <v>3.6187900104884592</v>
      </c>
      <c r="H75" s="244">
        <v>5.5076815139527708</v>
      </c>
      <c r="I75" s="244">
        <v>13.102931149634804</v>
      </c>
      <c r="J75" s="244">
        <v>33.060449071272537</v>
      </c>
      <c r="K75" s="244">
        <v>69.36537951665602</v>
      </c>
      <c r="L75" s="244">
        <v>135.07209299950583</v>
      </c>
      <c r="M75" s="244">
        <v>239.89808780220292</v>
      </c>
      <c r="N75" s="244">
        <v>391.13942068979344</v>
      </c>
      <c r="O75" s="244">
        <v>571.85957478536079</v>
      </c>
      <c r="P75" s="244">
        <v>683.40191426586932</v>
      </c>
      <c r="Q75" s="244">
        <v>781.45858168050722</v>
      </c>
      <c r="R75" s="244">
        <v>875.16897607694091</v>
      </c>
      <c r="S75" s="244">
        <v>986.95366265726807</v>
      </c>
      <c r="T75" s="244">
        <v>1052.319733328238</v>
      </c>
      <c r="U75" s="244">
        <v>1151.6295814425014</v>
      </c>
      <c r="V75" s="244">
        <v>1315.2390382386959</v>
      </c>
      <c r="W75" s="244">
        <v>1524.1461350572574</v>
      </c>
      <c r="X75" s="244">
        <v>1534.3273295190004</v>
      </c>
      <c r="Y75" s="244">
        <v>1511.650471300233</v>
      </c>
      <c r="Z75" s="244">
        <v>1561.808988028278</v>
      </c>
      <c r="AA75" s="244">
        <v>1561.9989176385161</v>
      </c>
      <c r="AB75" s="244">
        <v>1750.7905516361261</v>
      </c>
      <c r="AC75" s="244">
        <v>1629.7590520640272</v>
      </c>
      <c r="AD75" s="244">
        <v>1799.3473505517281</v>
      </c>
      <c r="AE75" s="244">
        <v>1828.6594504743946</v>
      </c>
      <c r="AF75" s="244">
        <v>1907.3709824099551</v>
      </c>
      <c r="AG75" s="244">
        <v>1765.7649422578199</v>
      </c>
      <c r="AH75" s="244">
        <v>0</v>
      </c>
      <c r="AI75" s="244">
        <v>0</v>
      </c>
      <c r="AJ75" s="244">
        <v>0</v>
      </c>
      <c r="AK75" s="244">
        <v>0</v>
      </c>
      <c r="AL75" s="244">
        <v>0</v>
      </c>
    </row>
    <row r="76" spans="2:38" ht="14">
      <c r="B76" s="23" t="s">
        <v>86</v>
      </c>
      <c r="C76" s="245">
        <v>0.96816846171650917</v>
      </c>
      <c r="D76" s="245">
        <v>0.99538139349483401</v>
      </c>
      <c r="E76" s="245">
        <v>0.89407619226134261</v>
      </c>
      <c r="F76" s="245">
        <v>1.1685769205312315</v>
      </c>
      <c r="G76" s="245">
        <v>1.1382706537415896</v>
      </c>
      <c r="H76" s="245">
        <v>1.1669884322389306</v>
      </c>
      <c r="I76" s="245">
        <v>1.5052033691408455</v>
      </c>
      <c r="J76" s="245">
        <v>2.2738607926959542</v>
      </c>
      <c r="K76" s="245">
        <v>3.6370690079257662</v>
      </c>
      <c r="L76" s="245">
        <v>5.9596591384808137</v>
      </c>
      <c r="M76" s="245">
        <v>10.166127750528547</v>
      </c>
      <c r="N76" s="245">
        <v>15.871056790413885</v>
      </c>
      <c r="O76" s="245">
        <v>22.970681795598999</v>
      </c>
      <c r="P76" s="245">
        <v>27.378682759582386</v>
      </c>
      <c r="Q76" s="245">
        <v>19.861964640906962</v>
      </c>
      <c r="R76" s="245">
        <v>18.316889353125717</v>
      </c>
      <c r="S76" s="245">
        <v>15.614202221248826</v>
      </c>
      <c r="T76" s="245">
        <v>13.989107795592648</v>
      </c>
      <c r="U76" s="245">
        <v>9.2317272592438009</v>
      </c>
      <c r="V76" s="245">
        <v>9.2751756134393766</v>
      </c>
      <c r="W76" s="245">
        <v>10.29566937160493</v>
      </c>
      <c r="X76" s="245">
        <v>10.645559592351693</v>
      </c>
      <c r="Y76" s="245">
        <v>10.647199353622508</v>
      </c>
      <c r="Z76" s="245">
        <v>11.613894671885818</v>
      </c>
      <c r="AA76" s="245">
        <v>11.443407357394479</v>
      </c>
      <c r="AB76" s="245">
        <v>11.190738451501948</v>
      </c>
      <c r="AC76" s="245">
        <v>13.029784668216582</v>
      </c>
      <c r="AD76" s="245">
        <v>14.415249508252296</v>
      </c>
      <c r="AE76" s="245">
        <v>14.706389616664348</v>
      </c>
      <c r="AF76" s="245">
        <v>16.559203901601411</v>
      </c>
      <c r="AG76" s="245">
        <v>14.558141363741344</v>
      </c>
      <c r="AH76" s="245">
        <v>0</v>
      </c>
      <c r="AI76" s="245">
        <v>0</v>
      </c>
      <c r="AJ76" s="245">
        <v>0</v>
      </c>
      <c r="AK76" s="245">
        <v>0</v>
      </c>
      <c r="AL76" s="245">
        <v>0</v>
      </c>
    </row>
    <row r="77" spans="2:38" ht="14">
      <c r="B77" s="23" t="s">
        <v>87</v>
      </c>
      <c r="C77" s="245">
        <v>0.77532940885059243</v>
      </c>
      <c r="D77" s="245">
        <v>0.7899705156111575</v>
      </c>
      <c r="E77" s="245">
        <v>0.70349260943654979</v>
      </c>
      <c r="F77" s="245">
        <v>0.91432556629770134</v>
      </c>
      <c r="G77" s="245">
        <v>0.88392445747100223</v>
      </c>
      <c r="H77" s="245">
        <v>0.89933590652879636</v>
      </c>
      <c r="I77" s="245">
        <v>1.145140101424686</v>
      </c>
      <c r="J77" s="245">
        <v>1.7265390304921431</v>
      </c>
      <c r="K77" s="245">
        <v>2.7777678555805849</v>
      </c>
      <c r="L77" s="245">
        <v>4.5197310300188898</v>
      </c>
      <c r="M77" s="245">
        <v>7.4545584736961175</v>
      </c>
      <c r="N77" s="245">
        <v>11.595824435956292</v>
      </c>
      <c r="O77" s="245">
        <v>16.586925888023117</v>
      </c>
      <c r="P77" s="245">
        <v>19.753889257222678</v>
      </c>
      <c r="Q77" s="245">
        <v>10.069097189305834</v>
      </c>
      <c r="R77" s="245">
        <v>11.820675207922141</v>
      </c>
      <c r="S77" s="245">
        <v>10.293961057202056</v>
      </c>
      <c r="T77" s="245">
        <v>11.23198139319687</v>
      </c>
      <c r="U77" s="245">
        <v>11.996401196988014</v>
      </c>
      <c r="V77" s="245">
        <v>12.141678463584995</v>
      </c>
      <c r="W77" s="245">
        <v>13.674186832039783</v>
      </c>
      <c r="X77" s="245">
        <v>16.100196766897511</v>
      </c>
      <c r="Y77" s="245">
        <v>18.585457043412223</v>
      </c>
      <c r="Z77" s="245">
        <v>20.239871212716572</v>
      </c>
      <c r="AA77" s="245">
        <v>24.495156487906531</v>
      </c>
      <c r="AB77" s="245">
        <v>28.866000635297695</v>
      </c>
      <c r="AC77" s="245">
        <v>32.612913295231117</v>
      </c>
      <c r="AD77" s="245">
        <v>33.161469070870467</v>
      </c>
      <c r="AE77" s="245">
        <v>37.076970765949476</v>
      </c>
      <c r="AF77" s="245">
        <v>40.408216963693711</v>
      </c>
      <c r="AG77" s="245">
        <v>37.781691800761593</v>
      </c>
      <c r="AH77" s="245">
        <v>0</v>
      </c>
      <c r="AI77" s="245">
        <v>0</v>
      </c>
      <c r="AJ77" s="245">
        <v>0</v>
      </c>
      <c r="AK77" s="245">
        <v>0</v>
      </c>
      <c r="AL77" s="245">
        <v>0</v>
      </c>
    </row>
    <row r="78" spans="2:38" ht="14">
      <c r="B78" s="23" t="s">
        <v>88</v>
      </c>
      <c r="C78" s="245">
        <v>0.45118053354652565</v>
      </c>
      <c r="D78" s="245">
        <v>0.67440889519672131</v>
      </c>
      <c r="E78" s="245">
        <v>0.9397176096109674</v>
      </c>
      <c r="F78" s="245">
        <v>1.2242011689117986</v>
      </c>
      <c r="G78" s="245">
        <v>1.5965948992758678</v>
      </c>
      <c r="H78" s="245">
        <v>3.4413571751850438</v>
      </c>
      <c r="I78" s="245">
        <v>10.452587679069273</v>
      </c>
      <c r="J78" s="245">
        <v>29.060049248084436</v>
      </c>
      <c r="K78" s="245">
        <v>62.950542653149675</v>
      </c>
      <c r="L78" s="245">
        <v>124.59270283100614</v>
      </c>
      <c r="M78" s="245">
        <v>222.27740157797828</v>
      </c>
      <c r="N78" s="245">
        <v>363.67253946342328</v>
      </c>
      <c r="O78" s="245">
        <v>532.30196710173868</v>
      </c>
      <c r="P78" s="245">
        <v>636.26934224906415</v>
      </c>
      <c r="Q78" s="245">
        <v>751.52751985029442</v>
      </c>
      <c r="R78" s="245">
        <v>845.03141151589307</v>
      </c>
      <c r="S78" s="245">
        <v>961.04549937881711</v>
      </c>
      <c r="T78" s="245">
        <v>1027.0986441394484</v>
      </c>
      <c r="U78" s="245">
        <v>1130.4014529862695</v>
      </c>
      <c r="V78" s="245">
        <v>1293.8221841616714</v>
      </c>
      <c r="W78" s="245">
        <v>1500.1762788536128</v>
      </c>
      <c r="X78" s="245">
        <v>1507.5815731597511</v>
      </c>
      <c r="Y78" s="245">
        <v>1482.4178149031982</v>
      </c>
      <c r="Z78" s="245">
        <v>1529.9552221436754</v>
      </c>
      <c r="AA78" s="245">
        <v>1526.060353793215</v>
      </c>
      <c r="AB78" s="245">
        <v>1710.7338125493266</v>
      </c>
      <c r="AC78" s="245">
        <v>1584.1163541005797</v>
      </c>
      <c r="AD78" s="245">
        <v>1751.7706319726053</v>
      </c>
      <c r="AE78" s="245">
        <v>1776.8760900917807</v>
      </c>
      <c r="AF78" s="245">
        <v>1850.4035615446601</v>
      </c>
      <c r="AG78" s="245">
        <v>1713.4251090933169</v>
      </c>
      <c r="AH78" s="245">
        <v>0</v>
      </c>
      <c r="AI78" s="245">
        <v>0</v>
      </c>
      <c r="AJ78" s="245">
        <v>0</v>
      </c>
      <c r="AK78" s="245">
        <v>0</v>
      </c>
      <c r="AL78" s="245">
        <v>0</v>
      </c>
    </row>
    <row r="79" spans="2:38" ht="14.5" thickBot="1">
      <c r="B79" s="114" t="s">
        <v>69</v>
      </c>
      <c r="C79" s="355"/>
      <c r="D79" s="355"/>
      <c r="E79" s="355"/>
      <c r="F79" s="355"/>
      <c r="G79" s="355"/>
      <c r="H79" s="355"/>
      <c r="I79" s="355"/>
      <c r="J79" s="355"/>
      <c r="K79" s="355"/>
      <c r="L79" s="355"/>
      <c r="M79" s="355"/>
      <c r="N79" s="355"/>
      <c r="O79" s="355"/>
      <c r="P79" s="355"/>
      <c r="Q79" s="355"/>
      <c r="R79" s="355"/>
      <c r="S79" s="355"/>
      <c r="T79" s="355"/>
      <c r="U79" s="355"/>
      <c r="V79" s="355"/>
      <c r="W79" s="355"/>
      <c r="X79" s="355"/>
      <c r="Y79" s="355"/>
      <c r="Z79" s="355"/>
      <c r="AA79" s="355"/>
      <c r="AB79" s="355"/>
      <c r="AC79" s="355"/>
      <c r="AD79" s="355"/>
      <c r="AE79" s="355"/>
      <c r="AF79" s="355"/>
      <c r="AG79" s="355"/>
      <c r="AH79" s="355"/>
      <c r="AI79" s="355"/>
      <c r="AJ79" s="355"/>
      <c r="AK79" s="355"/>
      <c r="AL79" s="355"/>
    </row>
    <row r="80" spans="2:38" ht="14">
      <c r="B80" s="243" t="s">
        <v>90</v>
      </c>
      <c r="C80" s="246">
        <f t="shared" ref="C80:AG80" si="48">C58+C63+C68+C75+C79</f>
        <v>259028.02416237743</v>
      </c>
      <c r="D80" s="246">
        <f t="shared" si="48"/>
        <v>256064.84590993938</v>
      </c>
      <c r="E80" s="246">
        <f t="shared" si="48"/>
        <v>252894.23124575737</v>
      </c>
      <c r="F80" s="246">
        <f t="shared" si="48"/>
        <v>260872.41061316573</v>
      </c>
      <c r="G80" s="246">
        <f t="shared" si="48"/>
        <v>251695.2937010958</v>
      </c>
      <c r="H80" s="246">
        <f t="shared" si="48"/>
        <v>247400.88434635266</v>
      </c>
      <c r="I80" s="246">
        <f t="shared" si="48"/>
        <v>241846.06017550218</v>
      </c>
      <c r="J80" s="246">
        <f t="shared" si="48"/>
        <v>232792.94956414209</v>
      </c>
      <c r="K80" s="246">
        <f t="shared" si="48"/>
        <v>225113.23307769661</v>
      </c>
      <c r="L80" s="246">
        <f t="shared" si="48"/>
        <v>198220.70797162043</v>
      </c>
      <c r="M80" s="246">
        <f t="shared" si="48"/>
        <v>186064.39254569935</v>
      </c>
      <c r="N80" s="246">
        <f t="shared" si="48"/>
        <v>170618.4743852971</v>
      </c>
      <c r="O80" s="246">
        <f t="shared" si="48"/>
        <v>161731.19647493705</v>
      </c>
      <c r="P80" s="246">
        <f t="shared" si="48"/>
        <v>157859.23353665421</v>
      </c>
      <c r="Q80" s="246">
        <f t="shared" si="48"/>
        <v>145420.45945383454</v>
      </c>
      <c r="R80" s="246">
        <f t="shared" si="48"/>
        <v>145837.69729898107</v>
      </c>
      <c r="S80" s="246">
        <f t="shared" si="48"/>
        <v>133240.5738373723</v>
      </c>
      <c r="T80" s="246">
        <f t="shared" si="48"/>
        <v>114075.58730023628</v>
      </c>
      <c r="U80" s="246">
        <f t="shared" si="48"/>
        <v>107807.45516102988</v>
      </c>
      <c r="V80" s="246">
        <f t="shared" si="48"/>
        <v>97610.614646919144</v>
      </c>
      <c r="W80" s="246">
        <f t="shared" si="48"/>
        <v>111570.77314635896</v>
      </c>
      <c r="X80" s="246">
        <f t="shared" si="48"/>
        <v>106053.06685444684</v>
      </c>
      <c r="Y80" s="246">
        <f t="shared" si="48"/>
        <v>103379.71687381742</v>
      </c>
      <c r="Z80" s="246">
        <f t="shared" si="48"/>
        <v>97625.299507506497</v>
      </c>
      <c r="AA80" s="246">
        <f t="shared" si="48"/>
        <v>93677.735174814719</v>
      </c>
      <c r="AB80" s="246">
        <f t="shared" si="48"/>
        <v>88094.052415353552</v>
      </c>
      <c r="AC80" s="246">
        <f t="shared" si="48"/>
        <v>88091.504811360748</v>
      </c>
      <c r="AD80" s="246">
        <f t="shared" si="48"/>
        <v>87248.364732252507</v>
      </c>
      <c r="AE80" s="246">
        <f t="shared" si="48"/>
        <v>85810.258366435854</v>
      </c>
      <c r="AF80" s="246">
        <f t="shared" si="48"/>
        <v>86492.944244920785</v>
      </c>
      <c r="AG80" s="246">
        <f t="shared" si="48"/>
        <v>72472.475767798329</v>
      </c>
      <c r="AH80" s="246">
        <f t="shared" ref="AH80:AL80" si="49">AH58+AH63+AH68+AH75+AH79</f>
        <v>0</v>
      </c>
      <c r="AI80" s="246">
        <f t="shared" si="49"/>
        <v>0</v>
      </c>
      <c r="AJ80" s="246">
        <f t="shared" si="49"/>
        <v>0</v>
      </c>
      <c r="AK80" s="246">
        <f t="shared" si="49"/>
        <v>0</v>
      </c>
      <c r="AL80" s="246">
        <f t="shared" si="49"/>
        <v>0</v>
      </c>
    </row>
    <row r="81" spans="2:38" s="283" customFormat="1" ht="15.5" hidden="1">
      <c r="C81" s="283">
        <v>1</v>
      </c>
      <c r="D81" s="283">
        <f>IF(D$4&lt;=$B83,C81+1,0)</f>
        <v>2</v>
      </c>
      <c r="E81" s="283">
        <f t="shared" ref="E81:AL81" si="50">IF(E$4&lt;=$B83,D81+1,0)</f>
        <v>3</v>
      </c>
      <c r="F81" s="283">
        <f t="shared" si="50"/>
        <v>4</v>
      </c>
      <c r="G81" s="283">
        <f t="shared" si="50"/>
        <v>5</v>
      </c>
      <c r="H81" s="283">
        <f t="shared" si="50"/>
        <v>6</v>
      </c>
      <c r="I81" s="283">
        <f t="shared" si="50"/>
        <v>7</v>
      </c>
      <c r="J81" s="283">
        <f t="shared" si="50"/>
        <v>8</v>
      </c>
      <c r="K81" s="283">
        <f t="shared" si="50"/>
        <v>9</v>
      </c>
      <c r="L81" s="283">
        <f t="shared" si="50"/>
        <v>10</v>
      </c>
      <c r="M81" s="283">
        <f t="shared" si="50"/>
        <v>11</v>
      </c>
      <c r="N81" s="283">
        <f t="shared" si="50"/>
        <v>12</v>
      </c>
      <c r="O81" s="283">
        <f t="shared" si="50"/>
        <v>13</v>
      </c>
      <c r="P81" s="283">
        <f t="shared" si="50"/>
        <v>14</v>
      </c>
      <c r="Q81" s="283">
        <f t="shared" si="50"/>
        <v>15</v>
      </c>
      <c r="R81" s="283">
        <f t="shared" si="50"/>
        <v>16</v>
      </c>
      <c r="S81" s="283">
        <f t="shared" si="50"/>
        <v>17</v>
      </c>
      <c r="T81" s="283">
        <f t="shared" si="50"/>
        <v>18</v>
      </c>
      <c r="U81" s="283">
        <f t="shared" si="50"/>
        <v>19</v>
      </c>
      <c r="V81" s="283">
        <f t="shared" si="50"/>
        <v>20</v>
      </c>
      <c r="W81" s="283">
        <f t="shared" si="50"/>
        <v>21</v>
      </c>
      <c r="X81" s="283">
        <f t="shared" si="50"/>
        <v>22</v>
      </c>
      <c r="Y81" s="283">
        <f t="shared" si="50"/>
        <v>23</v>
      </c>
      <c r="Z81" s="283">
        <f t="shared" si="50"/>
        <v>24</v>
      </c>
      <c r="AA81" s="283">
        <f t="shared" si="50"/>
        <v>25</v>
      </c>
      <c r="AB81" s="283">
        <f t="shared" si="50"/>
        <v>26</v>
      </c>
      <c r="AC81" s="283">
        <f t="shared" si="50"/>
        <v>27</v>
      </c>
      <c r="AD81" s="283">
        <f t="shared" si="50"/>
        <v>28</v>
      </c>
      <c r="AE81" s="283">
        <f t="shared" si="50"/>
        <v>29</v>
      </c>
      <c r="AF81" s="283">
        <f t="shared" si="50"/>
        <v>30</v>
      </c>
      <c r="AG81" s="283">
        <f t="shared" si="50"/>
        <v>31</v>
      </c>
      <c r="AH81" s="283">
        <f t="shared" si="50"/>
        <v>0</v>
      </c>
      <c r="AI81" s="283">
        <f t="shared" si="50"/>
        <v>0</v>
      </c>
      <c r="AJ81" s="283">
        <f t="shared" si="50"/>
        <v>0</v>
      </c>
      <c r="AK81" s="283">
        <f t="shared" si="50"/>
        <v>0</v>
      </c>
      <c r="AL81" s="283">
        <f t="shared" si="50"/>
        <v>0</v>
      </c>
    </row>
    <row r="82" spans="2:38" s="121" customFormat="1" ht="15.5">
      <c r="B82" s="18" t="s">
        <v>91</v>
      </c>
    </row>
    <row r="83" spans="2:38" s="279" customFormat="1" ht="14">
      <c r="B83" s="276">
        <f>MAX(C83:AL83)</f>
        <v>2020</v>
      </c>
      <c r="C83" s="394">
        <v>1990</v>
      </c>
      <c r="D83" s="394">
        <f>IF(D80=0,0,D57)</f>
        <v>1991</v>
      </c>
      <c r="E83" s="394">
        <f t="shared" ref="E83:AL83" si="51">IF(E80=0,0,E57)</f>
        <v>1992</v>
      </c>
      <c r="F83" s="394">
        <f t="shared" si="51"/>
        <v>1993</v>
      </c>
      <c r="G83" s="394">
        <f t="shared" si="51"/>
        <v>1994</v>
      </c>
      <c r="H83" s="394">
        <f t="shared" si="51"/>
        <v>1995</v>
      </c>
      <c r="I83" s="394">
        <f t="shared" si="51"/>
        <v>1996</v>
      </c>
      <c r="J83" s="394">
        <f t="shared" si="51"/>
        <v>1997</v>
      </c>
      <c r="K83" s="394">
        <f t="shared" si="51"/>
        <v>1998</v>
      </c>
      <c r="L83" s="394">
        <f t="shared" si="51"/>
        <v>1999</v>
      </c>
      <c r="M83" s="394">
        <f t="shared" si="51"/>
        <v>2000</v>
      </c>
      <c r="N83" s="394">
        <f t="shared" si="51"/>
        <v>2001</v>
      </c>
      <c r="O83" s="394">
        <f t="shared" si="51"/>
        <v>2002</v>
      </c>
      <c r="P83" s="394">
        <f t="shared" si="51"/>
        <v>2003</v>
      </c>
      <c r="Q83" s="394">
        <f t="shared" si="51"/>
        <v>2004</v>
      </c>
      <c r="R83" s="394">
        <f t="shared" si="51"/>
        <v>2005</v>
      </c>
      <c r="S83" s="394">
        <f t="shared" si="51"/>
        <v>2006</v>
      </c>
      <c r="T83" s="394">
        <f t="shared" si="51"/>
        <v>2007</v>
      </c>
      <c r="U83" s="394">
        <f t="shared" si="51"/>
        <v>2008</v>
      </c>
      <c r="V83" s="394">
        <f t="shared" si="51"/>
        <v>2009</v>
      </c>
      <c r="W83" s="394">
        <f t="shared" si="51"/>
        <v>2010</v>
      </c>
      <c r="X83" s="394">
        <f t="shared" si="51"/>
        <v>2011</v>
      </c>
      <c r="Y83" s="394">
        <f t="shared" si="51"/>
        <v>2012</v>
      </c>
      <c r="Z83" s="394">
        <f t="shared" si="51"/>
        <v>2013</v>
      </c>
      <c r="AA83" s="394">
        <f t="shared" si="51"/>
        <v>2014</v>
      </c>
      <c r="AB83" s="394">
        <f t="shared" si="51"/>
        <v>2015</v>
      </c>
      <c r="AC83" s="394">
        <f t="shared" si="51"/>
        <v>2016</v>
      </c>
      <c r="AD83" s="394">
        <f t="shared" si="51"/>
        <v>2017</v>
      </c>
      <c r="AE83" s="394">
        <f t="shared" si="51"/>
        <v>2018</v>
      </c>
      <c r="AF83" s="394">
        <f t="shared" si="51"/>
        <v>2019</v>
      </c>
      <c r="AG83" s="394">
        <f t="shared" si="51"/>
        <v>2020</v>
      </c>
      <c r="AH83" s="394">
        <f t="shared" si="51"/>
        <v>0</v>
      </c>
      <c r="AI83" s="394">
        <f t="shared" si="51"/>
        <v>0</v>
      </c>
      <c r="AJ83" s="394">
        <f t="shared" si="51"/>
        <v>0</v>
      </c>
      <c r="AK83" s="394">
        <f t="shared" si="51"/>
        <v>0</v>
      </c>
      <c r="AL83" s="394">
        <f t="shared" si="51"/>
        <v>0</v>
      </c>
    </row>
    <row r="84" spans="2:38" ht="16.5">
      <c r="B84" s="241" t="s">
        <v>94</v>
      </c>
      <c r="C84" s="18"/>
      <c r="D84" s="18"/>
      <c r="E84" s="18"/>
      <c r="F84" s="18"/>
      <c r="G84" s="18"/>
      <c r="H84" s="18"/>
      <c r="I84" s="18"/>
      <c r="J84" s="18"/>
      <c r="K84" s="242"/>
      <c r="L84" s="18"/>
      <c r="M84" s="18"/>
      <c r="N84" s="18"/>
      <c r="O84" s="18"/>
      <c r="P84" s="18"/>
      <c r="Q84" s="18"/>
      <c r="R84" s="18"/>
      <c r="S84" s="121"/>
      <c r="T84" s="121"/>
      <c r="U84" s="121"/>
      <c r="V84" s="121"/>
      <c r="W84" s="121"/>
      <c r="X84" s="121"/>
      <c r="Y84" s="121"/>
      <c r="Z84" s="121"/>
      <c r="AA84" s="121"/>
      <c r="AB84" s="121"/>
      <c r="AC84" s="121"/>
      <c r="AD84" s="121"/>
      <c r="AE84" s="121"/>
      <c r="AF84" s="121"/>
      <c r="AG84" s="121"/>
      <c r="AH84" s="121"/>
      <c r="AI84" s="121"/>
      <c r="AJ84" s="121"/>
      <c r="AK84" s="121"/>
      <c r="AL84" s="121"/>
    </row>
    <row r="85" spans="2:38" ht="14">
      <c r="B85" s="243" t="s">
        <v>71</v>
      </c>
      <c r="C85" s="243">
        <v>1990</v>
      </c>
      <c r="D85" s="243">
        <v>1991</v>
      </c>
      <c r="E85" s="243">
        <v>1992</v>
      </c>
      <c r="F85" s="243">
        <v>1993</v>
      </c>
      <c r="G85" s="243">
        <v>1994</v>
      </c>
      <c r="H85" s="243">
        <v>1995</v>
      </c>
      <c r="I85" s="243">
        <v>1996</v>
      </c>
      <c r="J85" s="243">
        <v>1997</v>
      </c>
      <c r="K85" s="243">
        <v>1998</v>
      </c>
      <c r="L85" s="243">
        <v>1999</v>
      </c>
      <c r="M85" s="243">
        <v>2000</v>
      </c>
      <c r="N85" s="243">
        <v>2001</v>
      </c>
      <c r="O85" s="243">
        <v>2002</v>
      </c>
      <c r="P85" s="243">
        <v>2003</v>
      </c>
      <c r="Q85" s="243">
        <v>2004</v>
      </c>
      <c r="R85" s="243">
        <v>2005</v>
      </c>
      <c r="S85" s="243">
        <v>2006</v>
      </c>
      <c r="T85" s="243">
        <v>2007</v>
      </c>
      <c r="U85" s="243">
        <v>2008</v>
      </c>
      <c r="V85" s="243">
        <v>2009</v>
      </c>
      <c r="W85" s="243">
        <v>2010</v>
      </c>
      <c r="X85" s="243">
        <v>2011</v>
      </c>
      <c r="Y85" s="243">
        <v>2012</v>
      </c>
      <c r="Z85" s="243">
        <v>2013</v>
      </c>
      <c r="AA85" s="243">
        <v>2014</v>
      </c>
      <c r="AB85" s="243">
        <v>2015</v>
      </c>
      <c r="AC85" s="243">
        <v>2016</v>
      </c>
      <c r="AD85" s="243">
        <v>2017</v>
      </c>
      <c r="AE85" s="243">
        <v>2018</v>
      </c>
      <c r="AF85" s="243">
        <v>2019</v>
      </c>
      <c r="AG85" s="243">
        <v>2020</v>
      </c>
      <c r="AH85" s="243">
        <v>2021</v>
      </c>
      <c r="AI85" s="243">
        <v>2022</v>
      </c>
      <c r="AJ85" s="243">
        <v>2023</v>
      </c>
      <c r="AK85" s="243">
        <v>2024</v>
      </c>
      <c r="AL85" s="243">
        <v>2025</v>
      </c>
    </row>
    <row r="86" spans="2:38" ht="14">
      <c r="B86" s="145" t="s">
        <v>72</v>
      </c>
      <c r="C86" s="244">
        <v>1305290.1938881932</v>
      </c>
      <c r="D86" s="244">
        <v>1396647.3648699648</v>
      </c>
      <c r="E86" s="244">
        <v>1478644.9655574225</v>
      </c>
      <c r="F86" s="244">
        <v>1554856.8522988732</v>
      </c>
      <c r="G86" s="244">
        <v>1617856.0822416728</v>
      </c>
      <c r="H86" s="244">
        <v>1659388.6097923259</v>
      </c>
      <c r="I86" s="244">
        <v>1703475.9669927375</v>
      </c>
      <c r="J86" s="244">
        <v>1731346.3038398356</v>
      </c>
      <c r="K86" s="244">
        <v>1737531.3042525372</v>
      </c>
      <c r="L86" s="244">
        <v>1624605.4358309051</v>
      </c>
      <c r="M86" s="244">
        <v>1552185.4050182444</v>
      </c>
      <c r="N86" s="244">
        <v>1437311.908882068</v>
      </c>
      <c r="O86" s="244">
        <v>1372708.6100317133</v>
      </c>
      <c r="P86" s="244">
        <v>1303351.8507285155</v>
      </c>
      <c r="Q86" s="244">
        <v>1203116.8272574185</v>
      </c>
      <c r="R86" s="244">
        <v>1079318.3240325172</v>
      </c>
      <c r="S86" s="244">
        <v>962712.37776889105</v>
      </c>
      <c r="T86" s="244">
        <v>886053.41551154701</v>
      </c>
      <c r="U86" s="244">
        <v>807899.2344735075</v>
      </c>
      <c r="V86" s="244">
        <v>702749.33618436207</v>
      </c>
      <c r="W86" s="244">
        <v>658585.90170791361</v>
      </c>
      <c r="X86" s="244">
        <v>605515.2058466546</v>
      </c>
      <c r="Y86" s="244">
        <v>532130.2622793176</v>
      </c>
      <c r="Z86" s="244">
        <v>467647.24151154706</v>
      </c>
      <c r="AA86" s="244">
        <v>400710.82097937871</v>
      </c>
      <c r="AB86" s="244">
        <v>342955.18815487198</v>
      </c>
      <c r="AC86" s="244">
        <v>309101.13032248284</v>
      </c>
      <c r="AD86" s="244">
        <v>261373.05341915399</v>
      </c>
      <c r="AE86" s="244">
        <v>214779.43599753172</v>
      </c>
      <c r="AF86" s="244">
        <v>231666.93165047865</v>
      </c>
      <c r="AG86" s="244">
        <v>164088.53785225828</v>
      </c>
      <c r="AH86" s="244">
        <v>0</v>
      </c>
      <c r="AI86" s="244">
        <v>0</v>
      </c>
      <c r="AJ86" s="244">
        <v>0</v>
      </c>
      <c r="AK86" s="244">
        <v>0</v>
      </c>
      <c r="AL86" s="244">
        <v>0</v>
      </c>
    </row>
    <row r="87" spans="2:38" ht="14">
      <c r="B87" s="23" t="s">
        <v>73</v>
      </c>
      <c r="C87" s="245">
        <v>840863.44765943103</v>
      </c>
      <c r="D87" s="245">
        <v>839924.72457331524</v>
      </c>
      <c r="E87" s="245">
        <v>856076.23217146471</v>
      </c>
      <c r="F87" s="245">
        <v>875171.16658231686</v>
      </c>
      <c r="G87" s="245">
        <v>902730.1416724507</v>
      </c>
      <c r="H87" s="245">
        <v>916172.93282505206</v>
      </c>
      <c r="I87" s="245">
        <v>929374.62810037006</v>
      </c>
      <c r="J87" s="245">
        <v>927291.282910457</v>
      </c>
      <c r="K87" s="245">
        <v>922925.15001092467</v>
      </c>
      <c r="L87" s="245">
        <v>835273.87961615343</v>
      </c>
      <c r="M87" s="245">
        <v>791522.10196542344</v>
      </c>
      <c r="N87" s="245">
        <v>736227.86701235396</v>
      </c>
      <c r="O87" s="245">
        <v>697800.68836985191</v>
      </c>
      <c r="P87" s="245">
        <v>650520.1550439155</v>
      </c>
      <c r="Q87" s="245">
        <v>614711.43875895313</v>
      </c>
      <c r="R87" s="245">
        <v>555604.37957849086</v>
      </c>
      <c r="S87" s="245">
        <v>495223.65575982805</v>
      </c>
      <c r="T87" s="245">
        <v>453351.46206963522</v>
      </c>
      <c r="U87" s="245">
        <v>410227.88216428697</v>
      </c>
      <c r="V87" s="245">
        <v>484839.42793484987</v>
      </c>
      <c r="W87" s="245">
        <v>453118.46067613433</v>
      </c>
      <c r="X87" s="245">
        <v>423032.92685934127</v>
      </c>
      <c r="Y87" s="245">
        <v>374614.88538192183</v>
      </c>
      <c r="Z87" s="245">
        <v>330501.97784901375</v>
      </c>
      <c r="AA87" s="245">
        <v>279615.47733937006</v>
      </c>
      <c r="AB87" s="245">
        <v>244051.11932041057</v>
      </c>
      <c r="AC87" s="245">
        <v>212943.96082264034</v>
      </c>
      <c r="AD87" s="245">
        <v>180575.54656273799</v>
      </c>
      <c r="AE87" s="245">
        <v>153520.43223820571</v>
      </c>
      <c r="AF87" s="245">
        <v>155975.25716617604</v>
      </c>
      <c r="AG87" s="245">
        <v>102153.30405368298</v>
      </c>
      <c r="AH87" s="245">
        <v>0</v>
      </c>
      <c r="AI87" s="245">
        <v>0</v>
      </c>
      <c r="AJ87" s="245">
        <v>0</v>
      </c>
      <c r="AK87" s="245">
        <v>0</v>
      </c>
      <c r="AL87" s="245">
        <v>0</v>
      </c>
    </row>
    <row r="88" spans="2:38" ht="14">
      <c r="B88" s="23" t="s">
        <v>74</v>
      </c>
      <c r="C88" s="245">
        <v>443359.83804964082</v>
      </c>
      <c r="D88" s="245">
        <v>531938.39489205333</v>
      </c>
      <c r="E88" s="245">
        <v>596717.77612574433</v>
      </c>
      <c r="F88" s="245">
        <v>653315.56525508384</v>
      </c>
      <c r="G88" s="245">
        <v>687076.61219774431</v>
      </c>
      <c r="H88" s="245">
        <v>714088.71138514054</v>
      </c>
      <c r="I88" s="245">
        <v>742912.09493658203</v>
      </c>
      <c r="J88" s="245">
        <v>770059.37485396955</v>
      </c>
      <c r="K88" s="245">
        <v>777304.87931942963</v>
      </c>
      <c r="L88" s="245">
        <v>750562.04169814906</v>
      </c>
      <c r="M88" s="245">
        <v>721261.8772919128</v>
      </c>
      <c r="N88" s="245">
        <v>663965.60666986625</v>
      </c>
      <c r="O88" s="245">
        <v>634828.95369947772</v>
      </c>
      <c r="P88" s="245">
        <v>611333.06059060793</v>
      </c>
      <c r="Q88" s="245">
        <v>548105.81082717073</v>
      </c>
      <c r="R88" s="245">
        <v>487521.52198137564</v>
      </c>
      <c r="S88" s="245">
        <v>457058.68046967138</v>
      </c>
      <c r="T88" s="245">
        <v>422935.62466677505</v>
      </c>
      <c r="U88" s="245">
        <v>388489.84009496315</v>
      </c>
      <c r="V88" s="245">
        <v>205147.07466321046</v>
      </c>
      <c r="W88" s="245">
        <v>194656.35487802525</v>
      </c>
      <c r="X88" s="245">
        <v>173374.41082575772</v>
      </c>
      <c r="Y88" s="245">
        <v>149248.56962315203</v>
      </c>
      <c r="Z88" s="245">
        <v>129937.76260248544</v>
      </c>
      <c r="AA88" s="245">
        <v>115064.00002081462</v>
      </c>
      <c r="AB88" s="245">
        <v>94028.208123231103</v>
      </c>
      <c r="AC88" s="245">
        <v>82697.145917552916</v>
      </c>
      <c r="AD88" s="245">
        <v>69173.482686937437</v>
      </c>
      <c r="AE88" s="245">
        <v>51484.270658291498</v>
      </c>
      <c r="AF88" s="245">
        <v>66023.543490633412</v>
      </c>
      <c r="AG88" s="245">
        <v>54963.259623372382</v>
      </c>
      <c r="AH88" s="245">
        <v>0</v>
      </c>
      <c r="AI88" s="245">
        <v>0</v>
      </c>
      <c r="AJ88" s="245">
        <v>0</v>
      </c>
      <c r="AK88" s="245">
        <v>0</v>
      </c>
      <c r="AL88" s="245">
        <v>0</v>
      </c>
    </row>
    <row r="89" spans="2:38" ht="14">
      <c r="B89" s="23" t="s">
        <v>75</v>
      </c>
      <c r="C89" s="245">
        <v>20287.101905336483</v>
      </c>
      <c r="D89" s="245">
        <v>23984.825600321361</v>
      </c>
      <c r="E89" s="245">
        <v>25030.838443799556</v>
      </c>
      <c r="F89" s="245">
        <v>25530.921757251868</v>
      </c>
      <c r="G89" s="245">
        <v>27186.349938701896</v>
      </c>
      <c r="H89" s="245">
        <v>28252.136338540637</v>
      </c>
      <c r="I89" s="245">
        <v>30363.393540727742</v>
      </c>
      <c r="J89" s="245">
        <v>33201.467763014043</v>
      </c>
      <c r="K89" s="245">
        <v>36520.747198988036</v>
      </c>
      <c r="L89" s="245">
        <v>37947.054357100285</v>
      </c>
      <c r="M89" s="245">
        <v>38619.474657862709</v>
      </c>
      <c r="N89" s="245">
        <v>36419.992940798191</v>
      </c>
      <c r="O89" s="245">
        <v>39393.179691099722</v>
      </c>
      <c r="P89" s="245">
        <v>40823.937754461869</v>
      </c>
      <c r="Q89" s="245">
        <v>39596.925539609758</v>
      </c>
      <c r="R89" s="245">
        <v>35500.971186649149</v>
      </c>
      <c r="S89" s="245">
        <v>9883.609827416296</v>
      </c>
      <c r="T89" s="245">
        <v>9311.6651945327394</v>
      </c>
      <c r="U89" s="245">
        <v>8795.5149224511988</v>
      </c>
      <c r="V89" s="245">
        <v>12243.903018909228</v>
      </c>
      <c r="W89" s="245">
        <v>10391.517803931651</v>
      </c>
      <c r="X89" s="245">
        <v>8727.1108837193369</v>
      </c>
      <c r="Y89" s="245">
        <v>7881.3662447989373</v>
      </c>
      <c r="Z89" s="245">
        <v>6883.2199559768123</v>
      </c>
      <c r="AA89" s="245">
        <v>5758.8974677298802</v>
      </c>
      <c r="AB89" s="245">
        <v>4646.6789015823797</v>
      </c>
      <c r="AC89" s="245">
        <v>13252.591797059014</v>
      </c>
      <c r="AD89" s="245">
        <v>11441.686153169221</v>
      </c>
      <c r="AE89" s="245">
        <v>9618.767465022649</v>
      </c>
      <c r="AF89" s="245">
        <v>9456.2961707921586</v>
      </c>
      <c r="AG89" s="245">
        <v>6823.0252818589152</v>
      </c>
      <c r="AH89" s="245">
        <v>0</v>
      </c>
      <c r="AI89" s="245">
        <v>0</v>
      </c>
      <c r="AJ89" s="245">
        <v>0</v>
      </c>
      <c r="AK89" s="245">
        <v>0</v>
      </c>
      <c r="AL89" s="245">
        <v>0</v>
      </c>
    </row>
    <row r="90" spans="2:38" ht="14">
      <c r="B90" s="23" t="s">
        <v>76</v>
      </c>
      <c r="C90" s="245">
        <v>779.80627378479471</v>
      </c>
      <c r="D90" s="245">
        <v>799.41980427478609</v>
      </c>
      <c r="E90" s="245">
        <v>820.11881641403261</v>
      </c>
      <c r="F90" s="245">
        <v>839.19870422067311</v>
      </c>
      <c r="G90" s="245">
        <v>862.97843277597769</v>
      </c>
      <c r="H90" s="245">
        <v>874.82924359252604</v>
      </c>
      <c r="I90" s="245">
        <v>825.85041505769948</v>
      </c>
      <c r="J90" s="245">
        <v>794.17831239507643</v>
      </c>
      <c r="K90" s="245">
        <v>780.52772319490418</v>
      </c>
      <c r="L90" s="245">
        <v>822.46015950229048</v>
      </c>
      <c r="M90" s="245">
        <v>781.95110304543437</v>
      </c>
      <c r="N90" s="245">
        <v>698.44225904960945</v>
      </c>
      <c r="O90" s="245">
        <v>685.7882712838076</v>
      </c>
      <c r="P90" s="245">
        <v>674.69733953027514</v>
      </c>
      <c r="Q90" s="245">
        <v>702.65213168487367</v>
      </c>
      <c r="R90" s="245">
        <v>691.45128600163741</v>
      </c>
      <c r="S90" s="245">
        <v>546.4317119751521</v>
      </c>
      <c r="T90" s="245">
        <v>454.66358060391326</v>
      </c>
      <c r="U90" s="245">
        <v>385.99729180603919</v>
      </c>
      <c r="V90" s="245">
        <v>518.93056739239285</v>
      </c>
      <c r="W90" s="245">
        <v>419.56834982241583</v>
      </c>
      <c r="X90" s="245">
        <v>380.75727783627514</v>
      </c>
      <c r="Y90" s="245">
        <v>385.44102944475048</v>
      </c>
      <c r="Z90" s="245">
        <v>324.28110407108073</v>
      </c>
      <c r="AA90" s="245">
        <v>272.44615146410194</v>
      </c>
      <c r="AB90" s="245">
        <v>229.18180964796386</v>
      </c>
      <c r="AC90" s="245">
        <v>207.43178523060101</v>
      </c>
      <c r="AD90" s="245">
        <v>182.33801630930878</v>
      </c>
      <c r="AE90" s="245">
        <v>155.96563601182274</v>
      </c>
      <c r="AF90" s="245">
        <v>211.83482287704265</v>
      </c>
      <c r="AG90" s="245">
        <v>148.94889334399042</v>
      </c>
      <c r="AH90" s="245">
        <v>0</v>
      </c>
      <c r="AI90" s="245">
        <v>0</v>
      </c>
      <c r="AJ90" s="245">
        <v>0</v>
      </c>
      <c r="AK90" s="245">
        <v>0</v>
      </c>
      <c r="AL90" s="245">
        <v>0</v>
      </c>
    </row>
    <row r="91" spans="2:38" ht="14">
      <c r="B91" s="145" t="s">
        <v>77</v>
      </c>
      <c r="C91" s="244">
        <v>6428.7838743494549</v>
      </c>
      <c r="D91" s="244">
        <v>6598.8676181465617</v>
      </c>
      <c r="E91" s="244">
        <v>6930.3951634241639</v>
      </c>
      <c r="F91" s="244">
        <v>7078.4557653910697</v>
      </c>
      <c r="G91" s="244">
        <v>7700.3203090272218</v>
      </c>
      <c r="H91" s="244">
        <v>8115.1283451338204</v>
      </c>
      <c r="I91" s="244">
        <v>8358.3452613220888</v>
      </c>
      <c r="J91" s="244">
        <v>8810.7874600215146</v>
      </c>
      <c r="K91" s="244">
        <v>9032.2002305572187</v>
      </c>
      <c r="L91" s="244">
        <v>9309.9934037812163</v>
      </c>
      <c r="M91" s="244">
        <v>9312.0261164552594</v>
      </c>
      <c r="N91" s="244">
        <v>9620.1956177695611</v>
      </c>
      <c r="O91" s="244">
        <v>9840.3943397537732</v>
      </c>
      <c r="P91" s="244">
        <v>9857.4382019173354</v>
      </c>
      <c r="Q91" s="244">
        <v>10305.075394903079</v>
      </c>
      <c r="R91" s="244">
        <v>9955.3393588515064</v>
      </c>
      <c r="S91" s="244">
        <v>10802.719848185281</v>
      </c>
      <c r="T91" s="244">
        <v>22135.283221086851</v>
      </c>
      <c r="U91" s="244">
        <v>28653.262002460491</v>
      </c>
      <c r="V91" s="244">
        <v>39976.920166096264</v>
      </c>
      <c r="W91" s="244">
        <v>44756.515142233788</v>
      </c>
      <c r="X91" s="244">
        <v>47542.22791644602</v>
      </c>
      <c r="Y91" s="244">
        <v>56996.093887464856</v>
      </c>
      <c r="Z91" s="244">
        <v>65960.733052117605</v>
      </c>
      <c r="AA91" s="244">
        <v>75006.23244861947</v>
      </c>
      <c r="AB91" s="244">
        <v>80736.674767525939</v>
      </c>
      <c r="AC91" s="244">
        <v>79580.710088289852</v>
      </c>
      <c r="AD91" s="244">
        <v>85533.221749093733</v>
      </c>
      <c r="AE91" s="244">
        <v>94925.10657912404</v>
      </c>
      <c r="AF91" s="244">
        <v>96035.962131450229</v>
      </c>
      <c r="AG91" s="244">
        <v>87794.204561975959</v>
      </c>
      <c r="AH91" s="244">
        <v>0</v>
      </c>
      <c r="AI91" s="244">
        <v>0</v>
      </c>
      <c r="AJ91" s="244">
        <v>0</v>
      </c>
      <c r="AK91" s="244">
        <v>0</v>
      </c>
      <c r="AL91" s="244">
        <v>0</v>
      </c>
    </row>
    <row r="92" spans="2:38" ht="14">
      <c r="B92" s="23" t="s">
        <v>73</v>
      </c>
      <c r="C92" s="245">
        <v>158.33108214672785</v>
      </c>
      <c r="D92" s="245">
        <v>143.50413197929439</v>
      </c>
      <c r="E92" s="245">
        <v>139.35374478221476</v>
      </c>
      <c r="F92" s="245">
        <v>136.54399871940515</v>
      </c>
      <c r="G92" s="245">
        <v>131.48138235130617</v>
      </c>
      <c r="H92" s="245">
        <v>123.58861472681713</v>
      </c>
      <c r="I92" s="245">
        <v>119.01675921290121</v>
      </c>
      <c r="J92" s="245">
        <v>117.52442925090453</v>
      </c>
      <c r="K92" s="245">
        <v>111.13146747543284</v>
      </c>
      <c r="L92" s="245">
        <v>113.2420502238167</v>
      </c>
      <c r="M92" s="245">
        <v>107.05133341024799</v>
      </c>
      <c r="N92" s="245">
        <v>94.485235807099471</v>
      </c>
      <c r="O92" s="245">
        <v>95.66251089270483</v>
      </c>
      <c r="P92" s="245">
        <v>95.017024087551292</v>
      </c>
      <c r="Q92" s="245">
        <v>97.02490930550654</v>
      </c>
      <c r="R92" s="245">
        <v>94.792128706231082</v>
      </c>
      <c r="S92" s="245">
        <v>85.714946952916108</v>
      </c>
      <c r="T92" s="245">
        <v>93.775834471438316</v>
      </c>
      <c r="U92" s="245">
        <v>104.32399759691498</v>
      </c>
      <c r="V92" s="245">
        <v>300.52309618343355</v>
      </c>
      <c r="W92" s="245">
        <v>549.12130543774811</v>
      </c>
      <c r="X92" s="245">
        <v>784.91868191610456</v>
      </c>
      <c r="Y92" s="245">
        <v>1045.7854919942208</v>
      </c>
      <c r="Z92" s="245">
        <v>1236.0635369368254</v>
      </c>
      <c r="AA92" s="245">
        <v>1360.1509055331649</v>
      </c>
      <c r="AB92" s="245">
        <v>1489.8146584785175</v>
      </c>
      <c r="AC92" s="245">
        <v>1485.7387715258594</v>
      </c>
      <c r="AD92" s="245">
        <v>1553.769999477275</v>
      </c>
      <c r="AE92" s="245">
        <v>1608.3929076701086</v>
      </c>
      <c r="AF92" s="245">
        <v>1571.2970951198733</v>
      </c>
      <c r="AG92" s="245">
        <v>1201.7182193529397</v>
      </c>
      <c r="AH92" s="245">
        <v>0</v>
      </c>
      <c r="AI92" s="245">
        <v>0</v>
      </c>
      <c r="AJ92" s="245">
        <v>0</v>
      </c>
      <c r="AK92" s="245">
        <v>0</v>
      </c>
      <c r="AL92" s="245">
        <v>0</v>
      </c>
    </row>
    <row r="93" spans="2:38" ht="14">
      <c r="B93" s="23" t="s">
        <v>74</v>
      </c>
      <c r="C93" s="245">
        <v>254.40270644440579</v>
      </c>
      <c r="D93" s="245">
        <v>281.11540108389426</v>
      </c>
      <c r="E93" s="245">
        <v>307.07622943817677</v>
      </c>
      <c r="F93" s="245">
        <v>331.40151736209884</v>
      </c>
      <c r="G93" s="245">
        <v>341.12376132584262</v>
      </c>
      <c r="H93" s="245">
        <v>349.26748800520124</v>
      </c>
      <c r="I93" s="245">
        <v>362.22417336059294</v>
      </c>
      <c r="J93" s="245">
        <v>381.42398787427936</v>
      </c>
      <c r="K93" s="245">
        <v>384.87453616184627</v>
      </c>
      <c r="L93" s="245">
        <v>390.83031294538165</v>
      </c>
      <c r="M93" s="245">
        <v>396.07454947850846</v>
      </c>
      <c r="N93" s="245">
        <v>391.13666927256833</v>
      </c>
      <c r="O93" s="245">
        <v>401.17925555921062</v>
      </c>
      <c r="P93" s="245">
        <v>413.54366457761984</v>
      </c>
      <c r="Q93" s="245">
        <v>419.99326243315073</v>
      </c>
      <c r="R93" s="245">
        <v>419.27239376182683</v>
      </c>
      <c r="S93" s="245">
        <v>475.32472800474767</v>
      </c>
      <c r="T93" s="245">
        <v>1489.0676657209178</v>
      </c>
      <c r="U93" s="245">
        <v>2310.0965699262565</v>
      </c>
      <c r="V93" s="245">
        <v>1456.5208213852916</v>
      </c>
      <c r="W93" s="245">
        <v>1651.115555770373</v>
      </c>
      <c r="X93" s="245">
        <v>1825.5942410213088</v>
      </c>
      <c r="Y93" s="245">
        <v>2197.6210389033222</v>
      </c>
      <c r="Z93" s="245">
        <v>2554.8232798755935</v>
      </c>
      <c r="AA93" s="245">
        <v>3013.376294927667</v>
      </c>
      <c r="AB93" s="245">
        <v>3238.097181252851</v>
      </c>
      <c r="AC93" s="245">
        <v>3422.282950490795</v>
      </c>
      <c r="AD93" s="245">
        <v>3681.5015580443724</v>
      </c>
      <c r="AE93" s="245">
        <v>3863.9070464298889</v>
      </c>
      <c r="AF93" s="245">
        <v>3499.77192739779</v>
      </c>
      <c r="AG93" s="245">
        <v>3332.2520692081207</v>
      </c>
      <c r="AH93" s="245">
        <v>0</v>
      </c>
      <c r="AI93" s="245">
        <v>0</v>
      </c>
      <c r="AJ93" s="245">
        <v>0</v>
      </c>
      <c r="AK93" s="245">
        <v>0</v>
      </c>
      <c r="AL93" s="245">
        <v>0</v>
      </c>
    </row>
    <row r="94" spans="2:38" ht="14">
      <c r="B94" s="23" t="s">
        <v>75</v>
      </c>
      <c r="C94" s="245">
        <v>5546.3046290512139</v>
      </c>
      <c r="D94" s="245">
        <v>5697.0049888307267</v>
      </c>
      <c r="E94" s="245">
        <v>6008.6412574048727</v>
      </c>
      <c r="F94" s="245">
        <v>6106.1085328409399</v>
      </c>
      <c r="G94" s="245">
        <v>6699.0716871483946</v>
      </c>
      <c r="H94" s="245">
        <v>7116.0913110105485</v>
      </c>
      <c r="I94" s="245">
        <v>7337.6235318527451</v>
      </c>
      <c r="J94" s="245">
        <v>7751.801241275085</v>
      </c>
      <c r="K94" s="245">
        <v>7965.7833705823878</v>
      </c>
      <c r="L94" s="245">
        <v>8191.589549800894</v>
      </c>
      <c r="M94" s="245">
        <v>8213.1805353715645</v>
      </c>
      <c r="N94" s="245">
        <v>8592.9311394747747</v>
      </c>
      <c r="O94" s="245">
        <v>8823.7626659307098</v>
      </c>
      <c r="P94" s="245">
        <v>8837.9175523609738</v>
      </c>
      <c r="Q94" s="245">
        <v>9279.6699002148416</v>
      </c>
      <c r="R94" s="245">
        <v>8933.3160801153481</v>
      </c>
      <c r="S94" s="245">
        <v>9760.4878265687566</v>
      </c>
      <c r="T94" s="245">
        <v>18824.333209212095</v>
      </c>
      <c r="U94" s="245">
        <v>23869.974295435335</v>
      </c>
      <c r="V94" s="245">
        <v>35516.529278866299</v>
      </c>
      <c r="W94" s="245">
        <v>39686.422677257731</v>
      </c>
      <c r="X94" s="245">
        <v>41604.537717256819</v>
      </c>
      <c r="Y94" s="245">
        <v>49784.422208282282</v>
      </c>
      <c r="Z94" s="245">
        <v>57688.859638710688</v>
      </c>
      <c r="AA94" s="245">
        <v>65503.592651066057</v>
      </c>
      <c r="AB94" s="245">
        <v>70510.151269102673</v>
      </c>
      <c r="AC94" s="245">
        <v>68789.38341867298</v>
      </c>
      <c r="AD94" s="245">
        <v>73783.649135108193</v>
      </c>
      <c r="AE94" s="245">
        <v>82133.824119170837</v>
      </c>
      <c r="AF94" s="245">
        <v>82658.696367713215</v>
      </c>
      <c r="AG94" s="245">
        <v>77041.634440296097</v>
      </c>
      <c r="AH94" s="245">
        <v>0</v>
      </c>
      <c r="AI94" s="245">
        <v>0</v>
      </c>
      <c r="AJ94" s="245">
        <v>0</v>
      </c>
      <c r="AK94" s="245">
        <v>0</v>
      </c>
      <c r="AL94" s="245">
        <v>0</v>
      </c>
    </row>
    <row r="95" spans="2:38" ht="14">
      <c r="B95" s="23" t="s">
        <v>378</v>
      </c>
      <c r="C95" s="245">
        <v>469.74545670710785</v>
      </c>
      <c r="D95" s="245">
        <v>477.24309625264669</v>
      </c>
      <c r="E95" s="245">
        <v>475.32393179890028</v>
      </c>
      <c r="F95" s="245">
        <v>504.40171646862501</v>
      </c>
      <c r="G95" s="245">
        <v>528.64347820167905</v>
      </c>
      <c r="H95" s="245">
        <v>526.18093139125324</v>
      </c>
      <c r="I95" s="245">
        <v>539.48079689584983</v>
      </c>
      <c r="J95" s="245">
        <v>560.03780162124565</v>
      </c>
      <c r="K95" s="245">
        <v>570.4108563375504</v>
      </c>
      <c r="L95" s="245">
        <v>614.3314908111231</v>
      </c>
      <c r="M95" s="245">
        <v>595.71969819493779</v>
      </c>
      <c r="N95" s="245">
        <v>541.64257321511775</v>
      </c>
      <c r="O95" s="245">
        <v>519.78990737114816</v>
      </c>
      <c r="P95" s="245">
        <v>510.95996089119097</v>
      </c>
      <c r="Q95" s="245">
        <v>508.38732294958101</v>
      </c>
      <c r="R95" s="245">
        <v>507.95875626810113</v>
      </c>
      <c r="S95" s="245">
        <v>481.19234665886154</v>
      </c>
      <c r="T95" s="245">
        <v>1728.1065116824013</v>
      </c>
      <c r="U95" s="245">
        <v>2368.8671395019837</v>
      </c>
      <c r="V95" s="245">
        <v>2703.3469696612428</v>
      </c>
      <c r="W95" s="245">
        <v>2869.8556037679282</v>
      </c>
      <c r="X95" s="245">
        <v>3327.1772762517826</v>
      </c>
      <c r="Y95" s="245">
        <v>3968.2651482850306</v>
      </c>
      <c r="Z95" s="245">
        <v>4480.9865965945037</v>
      </c>
      <c r="AA95" s="245">
        <v>5129.1125970925978</v>
      </c>
      <c r="AB95" s="245">
        <v>5498.6116586919043</v>
      </c>
      <c r="AC95" s="245">
        <v>5883.3049476002207</v>
      </c>
      <c r="AD95" s="245">
        <v>6514.3010564638898</v>
      </c>
      <c r="AE95" s="245">
        <v>7318.9825058532042</v>
      </c>
      <c r="AF95" s="245">
        <v>8306.1967412193462</v>
      </c>
      <c r="AG95" s="245">
        <v>6218.5998331187866</v>
      </c>
      <c r="AH95" s="245">
        <v>0</v>
      </c>
      <c r="AI95" s="245">
        <v>0</v>
      </c>
      <c r="AJ95" s="245">
        <v>0</v>
      </c>
      <c r="AK95" s="245">
        <v>0</v>
      </c>
      <c r="AL95" s="245">
        <v>0</v>
      </c>
    </row>
    <row r="96" spans="2:38" ht="14">
      <c r="B96" s="145" t="s">
        <v>78</v>
      </c>
      <c r="C96" s="244">
        <v>175801.44827447613</v>
      </c>
      <c r="D96" s="244">
        <v>169143.04652169446</v>
      </c>
      <c r="E96" s="244">
        <v>181090.61083728092</v>
      </c>
      <c r="F96" s="244">
        <v>250897.74293937912</v>
      </c>
      <c r="G96" s="244">
        <v>218431.00599246283</v>
      </c>
      <c r="H96" s="244">
        <v>225281.85043360159</v>
      </c>
      <c r="I96" s="244">
        <v>231210.21892151571</v>
      </c>
      <c r="J96" s="244">
        <v>230110.35391236571</v>
      </c>
      <c r="K96" s="244">
        <v>246238.54813911524</v>
      </c>
      <c r="L96" s="244">
        <v>256013.6666043732</v>
      </c>
      <c r="M96" s="244">
        <v>279099.25719650817</v>
      </c>
      <c r="N96" s="244">
        <v>265283.79660961899</v>
      </c>
      <c r="O96" s="244">
        <v>263843.77791567851</v>
      </c>
      <c r="P96" s="244">
        <v>290872.26041727845</v>
      </c>
      <c r="Q96" s="244">
        <v>304295.66022785212</v>
      </c>
      <c r="R96" s="244">
        <v>382306.544022149</v>
      </c>
      <c r="S96" s="244">
        <v>389562.67214116384</v>
      </c>
      <c r="T96" s="244">
        <v>275142.37363852595</v>
      </c>
      <c r="U96" s="244">
        <v>270275.19603320508</v>
      </c>
      <c r="V96" s="244">
        <v>232256.70544549418</v>
      </c>
      <c r="W96" s="244">
        <v>334529.83223004162</v>
      </c>
      <c r="X96" s="244">
        <v>331248.50632451044</v>
      </c>
      <c r="Y96" s="244">
        <v>341740.44794676866</v>
      </c>
      <c r="Z96" s="244">
        <v>335575.118875488</v>
      </c>
      <c r="AA96" s="244">
        <v>342941.66747850494</v>
      </c>
      <c r="AB96" s="244">
        <v>312160.13819346594</v>
      </c>
      <c r="AC96" s="244">
        <v>318576.4186031706</v>
      </c>
      <c r="AD96" s="244">
        <v>327332.25820844708</v>
      </c>
      <c r="AE96" s="244">
        <v>331923.13050331199</v>
      </c>
      <c r="AF96" s="244">
        <v>328054.16300410626</v>
      </c>
      <c r="AG96" s="244">
        <v>277724.71385108831</v>
      </c>
      <c r="AH96" s="244">
        <v>0</v>
      </c>
      <c r="AI96" s="244">
        <v>0</v>
      </c>
      <c r="AJ96" s="244">
        <v>0</v>
      </c>
      <c r="AK96" s="244">
        <v>0</v>
      </c>
      <c r="AL96" s="244">
        <v>0</v>
      </c>
    </row>
    <row r="97" spans="2:38" ht="14">
      <c r="B97" s="23" t="s">
        <v>79</v>
      </c>
      <c r="C97" s="245">
        <v>581.045680571356</v>
      </c>
      <c r="D97" s="245">
        <v>554.20552492218962</v>
      </c>
      <c r="E97" s="245">
        <v>523.77278076779942</v>
      </c>
      <c r="F97" s="245">
        <v>505.16088376736889</v>
      </c>
      <c r="G97" s="245">
        <v>567.59164512271377</v>
      </c>
      <c r="H97" s="245">
        <v>577.86358167061564</v>
      </c>
      <c r="I97" s="245">
        <v>523.75235061455044</v>
      </c>
      <c r="J97" s="245">
        <v>600.23538843501558</v>
      </c>
      <c r="K97" s="245">
        <v>552.22151312470805</v>
      </c>
      <c r="L97" s="245">
        <v>579.41044046551849</v>
      </c>
      <c r="M97" s="245">
        <v>815.54514979406667</v>
      </c>
      <c r="N97" s="245">
        <v>1024.2716987549488</v>
      </c>
      <c r="O97" s="245">
        <v>783.6328230086076</v>
      </c>
      <c r="P97" s="245">
        <v>1053.5384441772617</v>
      </c>
      <c r="Q97" s="245">
        <v>69.381602803894154</v>
      </c>
      <c r="R97" s="245">
        <v>655.42632819392577</v>
      </c>
      <c r="S97" s="245">
        <v>805.95312789055185</v>
      </c>
      <c r="T97" s="245">
        <v>704.84214049124012</v>
      </c>
      <c r="U97" s="245">
        <v>668.34018597607144</v>
      </c>
      <c r="V97" s="245">
        <v>625.90611299093132</v>
      </c>
      <c r="W97" s="245">
        <v>554.00427885887029</v>
      </c>
      <c r="X97" s="245">
        <v>515.35490998379896</v>
      </c>
      <c r="Y97" s="245">
        <v>614.03376305601262</v>
      </c>
      <c r="Z97" s="245">
        <v>637.82672682904069</v>
      </c>
      <c r="AA97" s="245">
        <v>454.09474339207532</v>
      </c>
      <c r="AB97" s="245">
        <v>789.39918323332995</v>
      </c>
      <c r="AC97" s="245">
        <v>785.15141160435985</v>
      </c>
      <c r="AD97" s="245">
        <v>788.94525516657984</v>
      </c>
      <c r="AE97" s="245">
        <v>847.74651644740413</v>
      </c>
      <c r="AF97" s="245">
        <v>768.45356428192144</v>
      </c>
      <c r="AG97" s="245">
        <v>799.58107874559312</v>
      </c>
      <c r="AH97" s="245">
        <v>0</v>
      </c>
      <c r="AI97" s="245">
        <v>0</v>
      </c>
      <c r="AJ97" s="245">
        <v>0</v>
      </c>
      <c r="AK97" s="245">
        <v>0</v>
      </c>
      <c r="AL97" s="245">
        <v>0</v>
      </c>
    </row>
    <row r="98" spans="2:38" ht="14">
      <c r="B98" s="23" t="s">
        <v>80</v>
      </c>
      <c r="C98" s="245">
        <v>11060.186279999998</v>
      </c>
      <c r="D98" s="245">
        <v>9032.4248299999999</v>
      </c>
      <c r="E98" s="245">
        <v>8670.5275799999999</v>
      </c>
      <c r="F98" s="245">
        <v>9213.8660900000013</v>
      </c>
      <c r="G98" s="245">
        <v>10533.445779999998</v>
      </c>
      <c r="H98" s="245">
        <v>13863.431010000002</v>
      </c>
      <c r="I98" s="245">
        <v>15218.480419999998</v>
      </c>
      <c r="J98" s="245">
        <v>11340.609280000001</v>
      </c>
      <c r="K98" s="245">
        <v>7907.3980700000011</v>
      </c>
      <c r="L98" s="245">
        <v>9349.22703</v>
      </c>
      <c r="M98" s="245">
        <v>8068.7549800000006</v>
      </c>
      <c r="N98" s="245">
        <v>5639.9886399999996</v>
      </c>
      <c r="O98" s="245">
        <v>7926.6487300000008</v>
      </c>
      <c r="P98" s="245">
        <v>15293.133569999998</v>
      </c>
      <c r="Q98" s="245">
        <v>5146.3683700000001</v>
      </c>
      <c r="R98" s="245">
        <v>4771.6626100000003</v>
      </c>
      <c r="S98" s="245">
        <v>3382.2045400000002</v>
      </c>
      <c r="T98" s="245">
        <v>3344.2337500000003</v>
      </c>
      <c r="U98" s="245">
        <v>4127.1444499999998</v>
      </c>
      <c r="V98" s="245">
        <v>4771.7383999999984</v>
      </c>
      <c r="W98" s="245">
        <v>6747.4321200000004</v>
      </c>
      <c r="X98" s="245">
        <v>5018.5864299999994</v>
      </c>
      <c r="Y98" s="245">
        <v>5672.6541299999999</v>
      </c>
      <c r="Z98" s="245">
        <v>6293.8289699999996</v>
      </c>
      <c r="AA98" s="245">
        <v>11515.911550000001</v>
      </c>
      <c r="AB98" s="245">
        <v>15732.563989999999</v>
      </c>
      <c r="AC98" s="245">
        <v>18344.742129999999</v>
      </c>
      <c r="AD98" s="245">
        <v>22354.184710000001</v>
      </c>
      <c r="AE98" s="245">
        <v>23813.900110000002</v>
      </c>
      <c r="AF98" s="245">
        <v>22059.05845</v>
      </c>
      <c r="AG98" s="245">
        <v>17687.870199999994</v>
      </c>
      <c r="AH98" s="245">
        <v>0</v>
      </c>
      <c r="AI98" s="245">
        <v>0</v>
      </c>
      <c r="AJ98" s="245">
        <v>0</v>
      </c>
      <c r="AK98" s="245">
        <v>0</v>
      </c>
      <c r="AL98" s="245">
        <v>0</v>
      </c>
    </row>
    <row r="99" spans="2:38" ht="14">
      <c r="B99" s="23" t="s">
        <v>81</v>
      </c>
      <c r="C99" s="245">
        <v>68804.670995572029</v>
      </c>
      <c r="D99" s="245">
        <v>61151.589046871588</v>
      </c>
      <c r="E99" s="245">
        <v>67211.428435618524</v>
      </c>
      <c r="F99" s="245">
        <v>62125.976614333311</v>
      </c>
      <c r="G99" s="245">
        <v>60942.930674433475</v>
      </c>
      <c r="H99" s="245">
        <v>73370.790655417106</v>
      </c>
      <c r="I99" s="245">
        <v>68828.465774230121</v>
      </c>
      <c r="J99" s="245">
        <v>69503.151629602871</v>
      </c>
      <c r="K99" s="245">
        <v>69368.190414742508</v>
      </c>
      <c r="L99" s="245">
        <v>49731.298765662177</v>
      </c>
      <c r="M99" s="245">
        <v>55277.181290179113</v>
      </c>
      <c r="N99" s="245">
        <v>51143.339370097019</v>
      </c>
      <c r="O99" s="245">
        <v>50901.709073818281</v>
      </c>
      <c r="P99" s="245">
        <v>54048.539177992978</v>
      </c>
      <c r="Q99" s="245">
        <v>55483.351448563866</v>
      </c>
      <c r="R99" s="245">
        <v>56364.229555181453</v>
      </c>
      <c r="S99" s="245">
        <v>72414.601312132174</v>
      </c>
      <c r="T99" s="245">
        <v>62552.853399553234</v>
      </c>
      <c r="U99" s="245">
        <v>68956.242169074161</v>
      </c>
      <c r="V99" s="245">
        <v>44022.178593654513</v>
      </c>
      <c r="W99" s="245">
        <v>49533.218941999243</v>
      </c>
      <c r="X99" s="245">
        <v>52466.856475447043</v>
      </c>
      <c r="Y99" s="245">
        <v>53030.969293512368</v>
      </c>
      <c r="Z99" s="245">
        <v>56873.541690936516</v>
      </c>
      <c r="AA99" s="245">
        <v>60688.946480198611</v>
      </c>
      <c r="AB99" s="245">
        <v>55551.394301110275</v>
      </c>
      <c r="AC99" s="245">
        <v>55419.926808809585</v>
      </c>
      <c r="AD99" s="245">
        <v>54951.677007112652</v>
      </c>
      <c r="AE99" s="245">
        <v>57180.661542922644</v>
      </c>
      <c r="AF99" s="245">
        <v>50871.589530618243</v>
      </c>
      <c r="AG99" s="245">
        <v>57147.856696361072</v>
      </c>
      <c r="AH99" s="245">
        <v>0</v>
      </c>
      <c r="AI99" s="245">
        <v>0</v>
      </c>
      <c r="AJ99" s="245">
        <v>0</v>
      </c>
      <c r="AK99" s="245">
        <v>0</v>
      </c>
      <c r="AL99" s="245">
        <v>0</v>
      </c>
    </row>
    <row r="100" spans="2:38" ht="14">
      <c r="B100" s="23" t="s">
        <v>82</v>
      </c>
      <c r="C100" s="245">
        <v>55850.226928115502</v>
      </c>
      <c r="D100" s="245">
        <v>50451.818563068126</v>
      </c>
      <c r="E100" s="245">
        <v>52648.466858970925</v>
      </c>
      <c r="F100" s="245">
        <v>57913.645227069464</v>
      </c>
      <c r="G100" s="245">
        <v>57637.177190466602</v>
      </c>
      <c r="H100" s="245">
        <v>46758.594618600364</v>
      </c>
      <c r="I100" s="245">
        <v>50002.160638321329</v>
      </c>
      <c r="J100" s="245">
        <v>48604.651423384072</v>
      </c>
      <c r="K100" s="245">
        <v>46111.517320778388</v>
      </c>
      <c r="L100" s="245">
        <v>48804.722847633493</v>
      </c>
      <c r="M100" s="245">
        <v>47318.145079781236</v>
      </c>
      <c r="N100" s="245">
        <v>53832.754069923853</v>
      </c>
      <c r="O100" s="245">
        <v>65327.760341989633</v>
      </c>
      <c r="P100" s="245">
        <v>78181.676733835397</v>
      </c>
      <c r="Q100" s="245">
        <v>69091.005381273135</v>
      </c>
      <c r="R100" s="245">
        <v>84627.753905723148</v>
      </c>
      <c r="S100" s="245">
        <v>97772.356962874153</v>
      </c>
      <c r="T100" s="245">
        <v>72854.754692273913</v>
      </c>
      <c r="U100" s="245">
        <v>64896.1964229246</v>
      </c>
      <c r="V100" s="245">
        <v>61547.880422327253</v>
      </c>
      <c r="W100" s="245">
        <v>63284.956270564231</v>
      </c>
      <c r="X100" s="245">
        <v>71456.964842015994</v>
      </c>
      <c r="Y100" s="245">
        <v>63424.262188122586</v>
      </c>
      <c r="Z100" s="245">
        <v>71765.067615564752</v>
      </c>
      <c r="AA100" s="245">
        <v>64407.889952298639</v>
      </c>
      <c r="AB100" s="245">
        <v>37112.053326581823</v>
      </c>
      <c r="AC100" s="245">
        <v>38291.746209657293</v>
      </c>
      <c r="AD100" s="245">
        <v>41490.661706804021</v>
      </c>
      <c r="AE100" s="245">
        <v>42838.84989693018</v>
      </c>
      <c r="AF100" s="245">
        <v>43956.779984231915</v>
      </c>
      <c r="AG100" s="245">
        <v>40580.359373279236</v>
      </c>
      <c r="AH100" s="245">
        <v>0</v>
      </c>
      <c r="AI100" s="245">
        <v>0</v>
      </c>
      <c r="AJ100" s="245">
        <v>0</v>
      </c>
      <c r="AK100" s="245">
        <v>0</v>
      </c>
      <c r="AL100" s="245">
        <v>0</v>
      </c>
    </row>
    <row r="101" spans="2:38" ht="14">
      <c r="B101" s="23" t="s">
        <v>83</v>
      </c>
      <c r="C101" s="245">
        <v>13400.5374897456</v>
      </c>
      <c r="D101" s="245">
        <v>21721.588906190402</v>
      </c>
      <c r="E101" s="245">
        <v>24934.870256190403</v>
      </c>
      <c r="F101" s="245">
        <v>30917.546414062399</v>
      </c>
      <c r="G101" s="245">
        <v>32386.7392595616</v>
      </c>
      <c r="H101" s="245">
        <v>34877.225077136012</v>
      </c>
      <c r="I101" s="245">
        <v>40595.4834918208</v>
      </c>
      <c r="J101" s="245">
        <v>42012.866817468785</v>
      </c>
      <c r="K101" s="245">
        <v>44190.507570227201</v>
      </c>
      <c r="L101" s="245">
        <v>61174.143805708809</v>
      </c>
      <c r="M101" s="245">
        <v>76037.606543782415</v>
      </c>
      <c r="N101" s="245">
        <v>62504.783592355205</v>
      </c>
      <c r="O101" s="245">
        <v>45609.305831024001</v>
      </c>
      <c r="P101" s="245">
        <v>44854.642617004793</v>
      </c>
      <c r="Q101" s="245">
        <v>72214.096720060785</v>
      </c>
      <c r="R101" s="245">
        <v>132195.81777042878</v>
      </c>
      <c r="S101" s="245">
        <v>95598.157946243184</v>
      </c>
      <c r="T101" s="245">
        <v>98917.961431891192</v>
      </c>
      <c r="U101" s="245">
        <v>93650.998458335991</v>
      </c>
      <c r="V101" s="245">
        <v>83511.870012224012</v>
      </c>
      <c r="W101" s="245">
        <v>94147.423761391998</v>
      </c>
      <c r="X101" s="245">
        <v>93721.439270095987</v>
      </c>
      <c r="Y101" s="245">
        <v>88971.676520262379</v>
      </c>
      <c r="Z101" s="245">
        <v>91058.919505113605</v>
      </c>
      <c r="AA101" s="245">
        <v>94497.073840928002</v>
      </c>
      <c r="AB101" s="245">
        <v>101454.68966059521</v>
      </c>
      <c r="AC101" s="245">
        <v>103684.71739076161</v>
      </c>
      <c r="AD101" s="245">
        <v>104317.13750737281</v>
      </c>
      <c r="AE101" s="245">
        <v>102648.14366059519</v>
      </c>
      <c r="AF101" s="245">
        <v>104496.36434172482</v>
      </c>
      <c r="AG101" s="245">
        <v>61437.636789632008</v>
      </c>
      <c r="AH101" s="245">
        <v>0</v>
      </c>
      <c r="AI101" s="245">
        <v>0</v>
      </c>
      <c r="AJ101" s="245">
        <v>0</v>
      </c>
      <c r="AK101" s="245">
        <v>0</v>
      </c>
      <c r="AL101" s="245">
        <v>0</v>
      </c>
    </row>
    <row r="102" spans="2:38" ht="14">
      <c r="B102" s="23" t="s">
        <v>84</v>
      </c>
      <c r="C102" s="245">
        <v>26104.78090047164</v>
      </c>
      <c r="D102" s="245">
        <v>26231.419650642172</v>
      </c>
      <c r="E102" s="245">
        <v>27101.544925733262</v>
      </c>
      <c r="F102" s="245">
        <v>90221.547710146566</v>
      </c>
      <c r="G102" s="245">
        <v>56363.12144287843</v>
      </c>
      <c r="H102" s="245">
        <v>55833.945490777463</v>
      </c>
      <c r="I102" s="245">
        <v>56041.876246528911</v>
      </c>
      <c r="J102" s="245">
        <v>58048.839373474992</v>
      </c>
      <c r="K102" s="245">
        <v>78108.713250242407</v>
      </c>
      <c r="L102" s="245">
        <v>86374.863714903171</v>
      </c>
      <c r="M102" s="245">
        <v>91582.024152971353</v>
      </c>
      <c r="N102" s="245">
        <v>91138.659238487977</v>
      </c>
      <c r="O102" s="245">
        <v>93294.721115838009</v>
      </c>
      <c r="P102" s="245">
        <v>97440.729874268043</v>
      </c>
      <c r="Q102" s="245">
        <v>102291.45670515041</v>
      </c>
      <c r="R102" s="245">
        <v>103691.6538526217</v>
      </c>
      <c r="S102" s="245">
        <v>119589.39825202379</v>
      </c>
      <c r="T102" s="245">
        <v>36767.728224316401</v>
      </c>
      <c r="U102" s="245">
        <v>37976.274346894301</v>
      </c>
      <c r="V102" s="245">
        <v>37777.131904297436</v>
      </c>
      <c r="W102" s="245">
        <v>120262.79685722724</v>
      </c>
      <c r="X102" s="245">
        <v>108069.30439696761</v>
      </c>
      <c r="Y102" s="245">
        <v>130026.85205181529</v>
      </c>
      <c r="Z102" s="245">
        <v>108945.93436704406</v>
      </c>
      <c r="AA102" s="245">
        <v>111377.75091168765</v>
      </c>
      <c r="AB102" s="245">
        <v>101520.03773194533</v>
      </c>
      <c r="AC102" s="245">
        <v>102050.1346523378</v>
      </c>
      <c r="AD102" s="245">
        <v>103429.65202199097</v>
      </c>
      <c r="AE102" s="245">
        <v>104593.82877641659</v>
      </c>
      <c r="AF102" s="245">
        <v>105901.91713324937</v>
      </c>
      <c r="AG102" s="245">
        <v>100071.40971307039</v>
      </c>
      <c r="AH102" s="245">
        <v>0</v>
      </c>
      <c r="AI102" s="245">
        <v>0</v>
      </c>
      <c r="AJ102" s="245">
        <v>0</v>
      </c>
      <c r="AK102" s="245">
        <v>0</v>
      </c>
      <c r="AL102" s="245">
        <v>0</v>
      </c>
    </row>
    <row r="103" spans="2:38" ht="14">
      <c r="B103" s="145" t="s">
        <v>85</v>
      </c>
      <c r="C103" s="244">
        <v>19.942180310934983</v>
      </c>
      <c r="D103" s="244">
        <v>21.283119339934235</v>
      </c>
      <c r="E103" s="244">
        <v>20.418163206158528</v>
      </c>
      <c r="F103" s="244">
        <v>26.259730942057413</v>
      </c>
      <c r="G103" s="244">
        <v>25.539751798656791</v>
      </c>
      <c r="H103" s="244">
        <v>24.397721350007714</v>
      </c>
      <c r="I103" s="244">
        <v>25.309652270183747</v>
      </c>
      <c r="J103" s="244">
        <v>23.323313811858721</v>
      </c>
      <c r="K103" s="244">
        <v>22.764512361235216</v>
      </c>
      <c r="L103" s="244">
        <v>21.284249049080614</v>
      </c>
      <c r="M103" s="244">
        <v>22.770241173428239</v>
      </c>
      <c r="N103" s="244">
        <v>24.959007816148215</v>
      </c>
      <c r="O103" s="244">
        <v>29.652451967924769</v>
      </c>
      <c r="P103" s="244">
        <v>32.482681278600253</v>
      </c>
      <c r="Q103" s="244">
        <v>22.858536010948686</v>
      </c>
      <c r="R103" s="244">
        <v>23.151579420564776</v>
      </c>
      <c r="S103" s="244">
        <v>18.766816051015105</v>
      </c>
      <c r="T103" s="244">
        <v>16.939601940207989</v>
      </c>
      <c r="U103" s="244">
        <v>15.714930408159208</v>
      </c>
      <c r="V103" s="244">
        <v>17.151495559556935</v>
      </c>
      <c r="W103" s="244">
        <v>20.226698103957009</v>
      </c>
      <c r="X103" s="244">
        <v>21.404943091178552</v>
      </c>
      <c r="Y103" s="244">
        <v>23.253761594146614</v>
      </c>
      <c r="Z103" s="244">
        <v>26.291090084153403</v>
      </c>
      <c r="AA103" s="244">
        <v>27.232134360889386</v>
      </c>
      <c r="AB103" s="244">
        <v>28.617492213570713</v>
      </c>
      <c r="AC103" s="244">
        <v>30.572737527423783</v>
      </c>
      <c r="AD103" s="244">
        <v>30.804756586852395</v>
      </c>
      <c r="AE103" s="244">
        <v>29.257901027589945</v>
      </c>
      <c r="AF103" s="244">
        <v>32.638123717241378</v>
      </c>
      <c r="AG103" s="244">
        <v>29.253343528848365</v>
      </c>
      <c r="AH103" s="244">
        <v>0</v>
      </c>
      <c r="AI103" s="244">
        <v>0</v>
      </c>
      <c r="AJ103" s="244">
        <v>0</v>
      </c>
      <c r="AK103" s="244">
        <v>0</v>
      </c>
      <c r="AL103" s="244">
        <v>0</v>
      </c>
    </row>
    <row r="104" spans="2:38" ht="14">
      <c r="B104" s="23" t="s">
        <v>86</v>
      </c>
      <c r="C104" s="245">
        <v>2.9128961315884321</v>
      </c>
      <c r="D104" s="245">
        <v>2.9945949130155314</v>
      </c>
      <c r="E104" s="245">
        <v>2.6884922695082256</v>
      </c>
      <c r="F104" s="245">
        <v>3.508424620490818</v>
      </c>
      <c r="G104" s="245">
        <v>3.3830443350214985</v>
      </c>
      <c r="H104" s="245">
        <v>3.2719971805775301</v>
      </c>
      <c r="I104" s="245">
        <v>3.5481378260884955</v>
      </c>
      <c r="J104" s="245">
        <v>3.8403760505741635</v>
      </c>
      <c r="K104" s="245">
        <v>4.3141347379551629</v>
      </c>
      <c r="L104" s="245">
        <v>4.6826673808789216</v>
      </c>
      <c r="M104" s="245">
        <v>6.4864067902697427</v>
      </c>
      <c r="N104" s="245">
        <v>8.1388380693004603</v>
      </c>
      <c r="O104" s="245">
        <v>10.620450728775364</v>
      </c>
      <c r="P104" s="245">
        <v>12.117969562350558</v>
      </c>
      <c r="Q104" s="245">
        <v>9.5659862944752412</v>
      </c>
      <c r="R104" s="245">
        <v>9.9633854343341408</v>
      </c>
      <c r="S104" s="245">
        <v>9.0807844044153505</v>
      </c>
      <c r="T104" s="245">
        <v>8.5061040191750692</v>
      </c>
      <c r="U104" s="245">
        <v>7.4754243262289073</v>
      </c>
      <c r="V104" s="245">
        <v>8.7110073926667049</v>
      </c>
      <c r="W104" s="245">
        <v>10.97300038491802</v>
      </c>
      <c r="X104" s="245">
        <v>11.274845022501118</v>
      </c>
      <c r="Y104" s="245">
        <v>13.057062597712507</v>
      </c>
      <c r="Z104" s="245">
        <v>15.121701140157434</v>
      </c>
      <c r="AA104" s="245">
        <v>14.684908967921462</v>
      </c>
      <c r="AB104" s="245">
        <v>14.337670803213639</v>
      </c>
      <c r="AC104" s="245">
        <v>16.59557172950262</v>
      </c>
      <c r="AD104" s="245">
        <v>19.928387073654871</v>
      </c>
      <c r="AE104" s="245">
        <v>19.714015249602163</v>
      </c>
      <c r="AF104" s="245">
        <v>22.95512137166719</v>
      </c>
      <c r="AG104" s="245">
        <v>20.250444150405581</v>
      </c>
      <c r="AH104" s="245">
        <v>0</v>
      </c>
      <c r="AI104" s="245">
        <v>0</v>
      </c>
      <c r="AJ104" s="245">
        <v>0</v>
      </c>
      <c r="AK104" s="245">
        <v>0</v>
      </c>
      <c r="AL104" s="245">
        <v>0</v>
      </c>
    </row>
    <row r="105" spans="2:38" ht="14">
      <c r="B105" s="23" t="s">
        <v>87</v>
      </c>
      <c r="C105" s="245">
        <v>15.041240801191806</v>
      </c>
      <c r="D105" s="245">
        <v>15.31872283676835</v>
      </c>
      <c r="E105" s="245">
        <v>13.618583679978272</v>
      </c>
      <c r="F105" s="245">
        <v>17.610911764174833</v>
      </c>
      <c r="G105" s="245">
        <v>16.81044467108368</v>
      </c>
      <c r="H105" s="245">
        <v>16.003174280966231</v>
      </c>
      <c r="I105" s="245">
        <v>16.714558922975897</v>
      </c>
      <c r="J105" s="245">
        <v>16.926736308600212</v>
      </c>
      <c r="K105" s="245">
        <v>17.415697651318251</v>
      </c>
      <c r="L105" s="245">
        <v>15.381973512284567</v>
      </c>
      <c r="M105" s="245">
        <v>15.640375427741409</v>
      </c>
      <c r="N105" s="245">
        <v>15.803948122715795</v>
      </c>
      <c r="O105" s="245">
        <v>17.544573097517141</v>
      </c>
      <c r="P105" s="245">
        <v>18.586764265722572</v>
      </c>
      <c r="Q105" s="245">
        <v>11.192532712360485</v>
      </c>
      <c r="R105" s="245">
        <v>10.8268961144688</v>
      </c>
      <c r="S105" s="245">
        <v>7.0005519574144799</v>
      </c>
      <c r="T105" s="245">
        <v>5.5634438503265375</v>
      </c>
      <c r="U105" s="245">
        <v>5.0807897208607278</v>
      </c>
      <c r="V105" s="245">
        <v>4.8251201127977801</v>
      </c>
      <c r="W105" s="245">
        <v>5.0617079228608581</v>
      </c>
      <c r="X105" s="245">
        <v>5.9029857751522297</v>
      </c>
      <c r="Y105" s="245">
        <v>6.0235301532154031</v>
      </c>
      <c r="Z105" s="245">
        <v>6.8655285809202633</v>
      </c>
      <c r="AA105" s="245">
        <v>7.2267334632510138</v>
      </c>
      <c r="AB105" s="245">
        <v>8.0830590458014662</v>
      </c>
      <c r="AC105" s="245">
        <v>8.9917906005429593</v>
      </c>
      <c r="AD105" s="245">
        <v>5.6091088562965687</v>
      </c>
      <c r="AE105" s="245">
        <v>4.393016286717299</v>
      </c>
      <c r="AF105" s="245">
        <v>4.4276746729202339</v>
      </c>
      <c r="AG105" s="245">
        <v>4.1366039508002554</v>
      </c>
      <c r="AH105" s="245">
        <v>0</v>
      </c>
      <c r="AI105" s="245">
        <v>0</v>
      </c>
      <c r="AJ105" s="245">
        <v>0</v>
      </c>
      <c r="AK105" s="245">
        <v>0</v>
      </c>
      <c r="AL105" s="245">
        <v>0</v>
      </c>
    </row>
    <row r="106" spans="2:38" ht="14">
      <c r="B106" s="23" t="s">
        <v>88</v>
      </c>
      <c r="C106" s="245">
        <v>1.9880433781547402</v>
      </c>
      <c r="D106" s="245">
        <v>2.9698015901503529</v>
      </c>
      <c r="E106" s="245">
        <v>4.1110872566720271</v>
      </c>
      <c r="F106" s="245">
        <v>5.1403945573917635</v>
      </c>
      <c r="G106" s="245">
        <v>5.3462627925516157</v>
      </c>
      <c r="H106" s="245">
        <v>5.1225498884639524</v>
      </c>
      <c r="I106" s="245">
        <v>5.0469555211193562</v>
      </c>
      <c r="J106" s="245">
        <v>2.5562014526843502</v>
      </c>
      <c r="K106" s="245">
        <v>1.0346799719618052</v>
      </c>
      <c r="L106" s="245">
        <v>1.2196081559171288</v>
      </c>
      <c r="M106" s="245">
        <v>0.64345895541708842</v>
      </c>
      <c r="N106" s="245">
        <v>1.0162216241319613</v>
      </c>
      <c r="O106" s="245">
        <v>1.487428141632267</v>
      </c>
      <c r="P106" s="245">
        <v>1.7779474505271262</v>
      </c>
      <c r="Q106" s="245">
        <v>2.1000170041129622</v>
      </c>
      <c r="R106" s="245">
        <v>2.3612978717618383</v>
      </c>
      <c r="S106" s="245">
        <v>2.6854796891852746</v>
      </c>
      <c r="T106" s="245">
        <v>2.8700540707063835</v>
      </c>
      <c r="U106" s="245">
        <v>3.1587163610695765</v>
      </c>
      <c r="V106" s="245">
        <v>3.615368054092448</v>
      </c>
      <c r="W106" s="245">
        <v>4.1919897961781345</v>
      </c>
      <c r="X106" s="245">
        <v>4.2271122935252023</v>
      </c>
      <c r="Y106" s="245">
        <v>4.1731688432187042</v>
      </c>
      <c r="Z106" s="245">
        <v>4.3038603630757031</v>
      </c>
      <c r="AA106" s="245">
        <v>5.320491929716912</v>
      </c>
      <c r="AB106" s="245">
        <v>6.1967623645556076</v>
      </c>
      <c r="AC106" s="245">
        <v>4.9853751973782092</v>
      </c>
      <c r="AD106" s="245">
        <v>5.2672606569009544</v>
      </c>
      <c r="AE106" s="245">
        <v>5.1508694912704822</v>
      </c>
      <c r="AF106" s="245">
        <v>5.2553276726539524</v>
      </c>
      <c r="AG106" s="245">
        <v>4.8662954276425268</v>
      </c>
      <c r="AH106" s="245">
        <v>0</v>
      </c>
      <c r="AI106" s="245">
        <v>0</v>
      </c>
      <c r="AJ106" s="245">
        <v>0</v>
      </c>
      <c r="AK106" s="245">
        <v>0</v>
      </c>
      <c r="AL106" s="245">
        <v>0</v>
      </c>
    </row>
    <row r="107" spans="2:38" ht="14.5" thickBot="1">
      <c r="B107" s="114" t="s">
        <v>68</v>
      </c>
      <c r="C107" s="355"/>
      <c r="D107" s="355"/>
      <c r="E107" s="355"/>
      <c r="F107" s="355"/>
      <c r="G107" s="355"/>
      <c r="H107" s="355"/>
      <c r="I107" s="355"/>
      <c r="J107" s="355"/>
      <c r="K107" s="355"/>
      <c r="L107" s="355"/>
      <c r="M107" s="355"/>
      <c r="N107" s="355"/>
      <c r="O107" s="355"/>
      <c r="P107" s="355"/>
      <c r="Q107" s="355"/>
      <c r="R107" s="355"/>
      <c r="S107" s="355"/>
      <c r="T107" s="355"/>
      <c r="U107" s="355"/>
      <c r="V107" s="355"/>
      <c r="W107" s="355"/>
      <c r="X107" s="355"/>
      <c r="Y107" s="355"/>
      <c r="Z107" s="355"/>
      <c r="AA107" s="355"/>
      <c r="AB107" s="355"/>
      <c r="AC107" s="355"/>
      <c r="AD107" s="355"/>
      <c r="AE107" s="355"/>
      <c r="AF107" s="355"/>
      <c r="AG107" s="355"/>
      <c r="AH107" s="355"/>
      <c r="AI107" s="355"/>
      <c r="AJ107" s="355"/>
      <c r="AK107" s="355"/>
      <c r="AL107" s="355"/>
    </row>
    <row r="108" spans="2:38" ht="14">
      <c r="B108" s="243" t="s">
        <v>90</v>
      </c>
      <c r="C108" s="246">
        <f t="shared" ref="C108:AG108" si="52">C86+C91+C96+C103+C107</f>
        <v>1487540.3682173297</v>
      </c>
      <c r="D108" s="246">
        <f t="shared" si="52"/>
        <v>1572410.5621291457</v>
      </c>
      <c r="E108" s="246">
        <f t="shared" si="52"/>
        <v>1666686.3897213337</v>
      </c>
      <c r="F108" s="246">
        <f t="shared" si="52"/>
        <v>1812859.3107345854</v>
      </c>
      <c r="G108" s="246">
        <f t="shared" si="52"/>
        <v>1844012.9482949616</v>
      </c>
      <c r="H108" s="246">
        <f t="shared" si="52"/>
        <v>1892809.9862924111</v>
      </c>
      <c r="I108" s="246">
        <f t="shared" si="52"/>
        <v>1943069.8408278455</v>
      </c>
      <c r="J108" s="246">
        <f t="shared" si="52"/>
        <v>1970290.7685260344</v>
      </c>
      <c r="K108" s="246">
        <f t="shared" si="52"/>
        <v>1992824.817134571</v>
      </c>
      <c r="L108" s="246">
        <f t="shared" si="52"/>
        <v>1889950.3800881086</v>
      </c>
      <c r="M108" s="246">
        <f t="shared" si="52"/>
        <v>1840619.4585723812</v>
      </c>
      <c r="N108" s="246">
        <f t="shared" si="52"/>
        <v>1712240.8601172727</v>
      </c>
      <c r="O108" s="246">
        <f t="shared" si="52"/>
        <v>1646422.4347391133</v>
      </c>
      <c r="P108" s="246">
        <f t="shared" si="52"/>
        <v>1604114.0320289899</v>
      </c>
      <c r="Q108" s="246">
        <f t="shared" si="52"/>
        <v>1517740.4214161846</v>
      </c>
      <c r="R108" s="246">
        <f t="shared" si="52"/>
        <v>1471603.3589929382</v>
      </c>
      <c r="S108" s="246">
        <f t="shared" si="52"/>
        <v>1363096.5365742913</v>
      </c>
      <c r="T108" s="246">
        <f t="shared" si="52"/>
        <v>1183348.0119730998</v>
      </c>
      <c r="U108" s="246">
        <f t="shared" si="52"/>
        <v>1106843.4074395814</v>
      </c>
      <c r="V108" s="246">
        <f t="shared" si="52"/>
        <v>975000.11329151213</v>
      </c>
      <c r="W108" s="246">
        <f t="shared" si="52"/>
        <v>1037892.475778293</v>
      </c>
      <c r="X108" s="246">
        <f t="shared" si="52"/>
        <v>984327.3450307023</v>
      </c>
      <c r="Y108" s="246">
        <f t="shared" si="52"/>
        <v>930890.05787514523</v>
      </c>
      <c r="Z108" s="246">
        <f t="shared" si="52"/>
        <v>869209.38452923682</v>
      </c>
      <c r="AA108" s="246">
        <f t="shared" si="52"/>
        <v>818685.95304086409</v>
      </c>
      <c r="AB108" s="246">
        <f t="shared" si="52"/>
        <v>735880.61860807752</v>
      </c>
      <c r="AC108" s="246">
        <f t="shared" si="52"/>
        <v>707288.8317514708</v>
      </c>
      <c r="AD108" s="246">
        <f t="shared" si="52"/>
        <v>674269.3381332818</v>
      </c>
      <c r="AE108" s="246">
        <f t="shared" si="52"/>
        <v>641656.9309809953</v>
      </c>
      <c r="AF108" s="246">
        <f t="shared" si="52"/>
        <v>655789.69490975246</v>
      </c>
      <c r="AG108" s="246">
        <f t="shared" si="52"/>
        <v>529636.70960885135</v>
      </c>
      <c r="AH108" s="246">
        <f t="shared" ref="AH108:AL108" si="53">AH86+AH91+AH96+AH103+AH107</f>
        <v>0</v>
      </c>
      <c r="AI108" s="246">
        <f t="shared" si="53"/>
        <v>0</v>
      </c>
      <c r="AJ108" s="246">
        <f t="shared" si="53"/>
        <v>0</v>
      </c>
      <c r="AK108" s="246">
        <f t="shared" si="53"/>
        <v>0</v>
      </c>
      <c r="AL108" s="246">
        <f t="shared" si="53"/>
        <v>0</v>
      </c>
    </row>
    <row r="109" spans="2:38" s="284" customFormat="1" ht="14">
      <c r="B109" s="18" t="s">
        <v>91</v>
      </c>
    </row>
    <row r="110" spans="2:38" s="283" customFormat="1" ht="15.5">
      <c r="C110" s="283">
        <v>1</v>
      </c>
      <c r="D110" s="283">
        <f>IF(D$4&lt;=$B111,C110+1,0)</f>
        <v>2</v>
      </c>
      <c r="E110" s="283">
        <f t="shared" ref="E110:AL110" si="54">IF(E$4&lt;=$B111,D110+1,0)</f>
        <v>3</v>
      </c>
      <c r="F110" s="283">
        <f t="shared" si="54"/>
        <v>4</v>
      </c>
      <c r="G110" s="283">
        <f t="shared" si="54"/>
        <v>5</v>
      </c>
      <c r="H110" s="283">
        <f t="shared" si="54"/>
        <v>6</v>
      </c>
      <c r="I110" s="283">
        <f t="shared" si="54"/>
        <v>7</v>
      </c>
      <c r="J110" s="283">
        <f t="shared" si="54"/>
        <v>8</v>
      </c>
      <c r="K110" s="283">
        <f t="shared" si="54"/>
        <v>9</v>
      </c>
      <c r="L110" s="283">
        <f t="shared" si="54"/>
        <v>10</v>
      </c>
      <c r="M110" s="283">
        <f t="shared" si="54"/>
        <v>11</v>
      </c>
      <c r="N110" s="283">
        <f t="shared" si="54"/>
        <v>12</v>
      </c>
      <c r="O110" s="283">
        <f t="shared" si="54"/>
        <v>13</v>
      </c>
      <c r="P110" s="283">
        <f t="shared" si="54"/>
        <v>14</v>
      </c>
      <c r="Q110" s="283">
        <f t="shared" si="54"/>
        <v>15</v>
      </c>
      <c r="R110" s="283">
        <f t="shared" si="54"/>
        <v>16</v>
      </c>
      <c r="S110" s="283">
        <f t="shared" si="54"/>
        <v>17</v>
      </c>
      <c r="T110" s="283">
        <f t="shared" si="54"/>
        <v>18</v>
      </c>
      <c r="U110" s="283">
        <f t="shared" si="54"/>
        <v>19</v>
      </c>
      <c r="V110" s="283">
        <f t="shared" si="54"/>
        <v>20</v>
      </c>
      <c r="W110" s="283">
        <f t="shared" si="54"/>
        <v>21</v>
      </c>
      <c r="X110" s="283">
        <f t="shared" si="54"/>
        <v>22</v>
      </c>
      <c r="Y110" s="283">
        <f t="shared" si="54"/>
        <v>23</v>
      </c>
      <c r="Z110" s="283">
        <f t="shared" si="54"/>
        <v>24</v>
      </c>
      <c r="AA110" s="283">
        <f t="shared" si="54"/>
        <v>25</v>
      </c>
      <c r="AB110" s="283">
        <f t="shared" si="54"/>
        <v>26</v>
      </c>
      <c r="AC110" s="283">
        <f t="shared" si="54"/>
        <v>27</v>
      </c>
      <c r="AD110" s="283">
        <f t="shared" si="54"/>
        <v>28</v>
      </c>
      <c r="AE110" s="283">
        <f t="shared" si="54"/>
        <v>29</v>
      </c>
      <c r="AF110" s="283">
        <f t="shared" si="54"/>
        <v>30</v>
      </c>
      <c r="AG110" s="283">
        <f t="shared" si="54"/>
        <v>31</v>
      </c>
      <c r="AH110" s="283">
        <f t="shared" si="54"/>
        <v>0</v>
      </c>
      <c r="AI110" s="283">
        <f t="shared" si="54"/>
        <v>0</v>
      </c>
      <c r="AJ110" s="283">
        <f t="shared" si="54"/>
        <v>0</v>
      </c>
      <c r="AK110" s="283">
        <f t="shared" si="54"/>
        <v>0</v>
      </c>
      <c r="AL110" s="283">
        <f t="shared" si="54"/>
        <v>0</v>
      </c>
    </row>
    <row r="111" spans="2:38" s="283" customFormat="1" ht="15.5">
      <c r="B111" s="283">
        <f>MAX(C111:AL111)</f>
        <v>2020</v>
      </c>
      <c r="C111" s="283">
        <f>1990</f>
        <v>1990</v>
      </c>
      <c r="D111" s="283">
        <f>IF(D108=0,0,D85)</f>
        <v>1991</v>
      </c>
      <c r="E111" s="283">
        <f t="shared" ref="E111:AL111" si="55">IF(E108=0,0,E85)</f>
        <v>1992</v>
      </c>
      <c r="F111" s="283">
        <f t="shared" si="55"/>
        <v>1993</v>
      </c>
      <c r="G111" s="283">
        <f t="shared" si="55"/>
        <v>1994</v>
      </c>
      <c r="H111" s="283">
        <f t="shared" si="55"/>
        <v>1995</v>
      </c>
      <c r="I111" s="283">
        <f t="shared" si="55"/>
        <v>1996</v>
      </c>
      <c r="J111" s="283">
        <f t="shared" si="55"/>
        <v>1997</v>
      </c>
      <c r="K111" s="283">
        <f t="shared" si="55"/>
        <v>1998</v>
      </c>
      <c r="L111" s="283">
        <f t="shared" si="55"/>
        <v>1999</v>
      </c>
      <c r="M111" s="283">
        <f t="shared" si="55"/>
        <v>2000</v>
      </c>
      <c r="N111" s="283">
        <f t="shared" si="55"/>
        <v>2001</v>
      </c>
      <c r="O111" s="283">
        <f t="shared" si="55"/>
        <v>2002</v>
      </c>
      <c r="P111" s="283">
        <f t="shared" si="55"/>
        <v>2003</v>
      </c>
      <c r="Q111" s="283">
        <f t="shared" si="55"/>
        <v>2004</v>
      </c>
      <c r="R111" s="283">
        <f t="shared" si="55"/>
        <v>2005</v>
      </c>
      <c r="S111" s="283">
        <f t="shared" si="55"/>
        <v>2006</v>
      </c>
      <c r="T111" s="283">
        <f t="shared" si="55"/>
        <v>2007</v>
      </c>
      <c r="U111" s="283">
        <f t="shared" si="55"/>
        <v>2008</v>
      </c>
      <c r="V111" s="283">
        <f t="shared" si="55"/>
        <v>2009</v>
      </c>
      <c r="W111" s="283">
        <f t="shared" si="55"/>
        <v>2010</v>
      </c>
      <c r="X111" s="283">
        <f t="shared" si="55"/>
        <v>2011</v>
      </c>
      <c r="Y111" s="283">
        <f t="shared" si="55"/>
        <v>2012</v>
      </c>
      <c r="Z111" s="283">
        <f t="shared" si="55"/>
        <v>2013</v>
      </c>
      <c r="AA111" s="283">
        <f t="shared" si="55"/>
        <v>2014</v>
      </c>
      <c r="AB111" s="283">
        <f t="shared" si="55"/>
        <v>2015</v>
      </c>
      <c r="AC111" s="283">
        <f t="shared" si="55"/>
        <v>2016</v>
      </c>
      <c r="AD111" s="283">
        <f t="shared" si="55"/>
        <v>2017</v>
      </c>
      <c r="AE111" s="283">
        <f t="shared" si="55"/>
        <v>2018</v>
      </c>
      <c r="AF111" s="283">
        <f t="shared" si="55"/>
        <v>2019</v>
      </c>
      <c r="AG111" s="283">
        <f t="shared" si="55"/>
        <v>2020</v>
      </c>
      <c r="AH111" s="283">
        <f t="shared" si="55"/>
        <v>0</v>
      </c>
      <c r="AI111" s="283">
        <f t="shared" si="55"/>
        <v>0</v>
      </c>
      <c r="AJ111" s="283">
        <f t="shared" si="55"/>
        <v>0</v>
      </c>
      <c r="AK111" s="283">
        <f t="shared" si="55"/>
        <v>0</v>
      </c>
      <c r="AL111" s="283">
        <f t="shared" si="55"/>
        <v>0</v>
      </c>
    </row>
    <row r="112" spans="2:38" s="284" customFormat="1"/>
    <row r="113" s="284" customFormat="1"/>
    <row r="114" s="284" customFormat="1"/>
    <row r="115" s="284" customFormat="1"/>
    <row r="116" s="284" customFormat="1"/>
  </sheetData>
  <sheetProtection algorithmName="SHA-512" hashValue="s/QbSnvgRruUkVM0gqv9k1XvYyZRJbNWsSpQMLo/9w2MnQyd1/MnOKxYXZnfR7MtwekHcFlZJvnCzCju28Azwg==" saltValue="T54u94afkcZtMy6Zue8JnA==" spinCount="100000" sheet="1" objects="1" scenarios="1"/>
  <protectedRanges>
    <protectedRange sqref="C79:AL79" name="AES Mobile 2"/>
    <protectedRange sqref="C107:AL107" name="AES Mobile 3"/>
  </protectedRanges>
  <mergeCells count="1">
    <mergeCell ref="A1:G1"/>
  </mergeCells>
  <phoneticPr fontId="0" type="noConversion"/>
  <pageMargins left="0.75" right="0.75" top="1" bottom="1" header="0.5" footer="0.5"/>
  <pageSetup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05"/>
  <dimension ref="A1:BZ49"/>
  <sheetViews>
    <sheetView showGridLines="0" showRowColHeaders="0" workbookViewId="0">
      <selection activeCell="B3" sqref="B3"/>
    </sheetView>
  </sheetViews>
  <sheetFormatPr defaultColWidth="9.1796875" defaultRowHeight="12.5"/>
  <cols>
    <col min="1" max="1" width="6.1796875" style="1" customWidth="1"/>
    <col min="2" max="2" width="22.1796875" style="1" customWidth="1"/>
    <col min="3" max="3" width="11.453125" style="1" customWidth="1"/>
    <col min="4" max="4" width="12.26953125" style="1" customWidth="1"/>
    <col min="5" max="38" width="10.54296875" style="1" customWidth="1"/>
    <col min="39" max="46" width="5.54296875" style="1" customWidth="1"/>
    <col min="47" max="47" width="9.1796875" style="1"/>
    <col min="48" max="48" width="14.1796875" style="1" customWidth="1"/>
    <col min="49" max="59" width="5.54296875" style="1" customWidth="1"/>
    <col min="60" max="60" width="9.1796875" style="1"/>
    <col min="61" max="61" width="17" style="1" customWidth="1"/>
    <col min="62" max="72" width="5.54296875" style="1" customWidth="1"/>
    <col min="73" max="16384" width="9.1796875" style="1"/>
  </cols>
  <sheetData>
    <row r="1" spans="1:78" ht="43.5" customHeight="1">
      <c r="A1" s="426" t="str">
        <f>"Summary of CH4 Emissions from Coal Mining Activities in "&amp;StateName&amp;" (MTCO2E)"</f>
        <v>Summary of CH4 Emissions from Coal Mining Activities in Illinois (MTCO2E)</v>
      </c>
      <c r="B1" s="426"/>
      <c r="C1" s="426"/>
      <c r="D1" s="426"/>
      <c r="E1" s="426"/>
      <c r="AZ1" s="1">
        <v>45329.436550578706</v>
      </c>
      <c r="BE1" s="222"/>
    </row>
    <row r="2" spans="1:78" ht="61.5" customHeight="1">
      <c r="A2" s="2"/>
      <c r="B2" s="3"/>
      <c r="C2" s="427"/>
      <c r="D2" s="427"/>
      <c r="E2" s="427"/>
      <c r="F2" s="427"/>
      <c r="G2" s="427"/>
      <c r="H2" s="427"/>
      <c r="I2" s="427"/>
      <c r="J2" s="427"/>
      <c r="K2" s="427"/>
      <c r="L2" s="427"/>
      <c r="M2" s="427"/>
      <c r="P2" s="4"/>
      <c r="Q2" s="5"/>
      <c r="R2" s="5"/>
      <c r="S2" s="5"/>
      <c r="T2" s="5"/>
      <c r="U2" s="5"/>
      <c r="V2" s="5"/>
      <c r="W2" s="5"/>
      <c r="X2" s="5"/>
      <c r="Y2" s="5"/>
      <c r="Z2" s="5"/>
      <c r="AA2" s="5"/>
      <c r="AB2" s="5"/>
      <c r="AC2" s="4"/>
      <c r="AD2" s="5"/>
      <c r="AE2" s="5"/>
      <c r="AF2" s="5"/>
      <c r="AG2" s="5"/>
      <c r="AH2" s="5"/>
      <c r="AI2" s="5"/>
      <c r="AJ2" s="5"/>
      <c r="AK2" s="5"/>
      <c r="AL2" s="5"/>
      <c r="AM2" s="5"/>
      <c r="AN2" s="5"/>
      <c r="AO2" s="5"/>
      <c r="AP2" s="5"/>
      <c r="AQ2" s="5"/>
      <c r="AR2" s="5"/>
      <c r="AS2" s="5"/>
      <c r="AT2" s="5"/>
      <c r="AU2" s="4"/>
      <c r="AV2" s="5"/>
      <c r="AW2" s="5"/>
      <c r="AX2" s="5"/>
      <c r="AY2" s="5"/>
      <c r="AZ2" s="5"/>
      <c r="BA2" s="5"/>
      <c r="BB2" s="5"/>
      <c r="BC2" s="5"/>
      <c r="BD2" s="5"/>
      <c r="BE2" s="5"/>
      <c r="BF2" s="5"/>
      <c r="BG2" s="5"/>
      <c r="BI2" s="6"/>
      <c r="BJ2" s="5"/>
      <c r="BK2" s="5"/>
      <c r="BL2" s="5"/>
      <c r="BM2" s="5"/>
      <c r="BN2" s="5"/>
      <c r="BO2" s="5"/>
      <c r="BP2" s="5"/>
      <c r="BQ2" s="5"/>
      <c r="BR2" s="5"/>
      <c r="BS2" s="5"/>
      <c r="BT2" s="5"/>
    </row>
    <row r="3" spans="1:78" ht="16" thickBot="1">
      <c r="B3" s="8" t="s">
        <v>95</v>
      </c>
      <c r="C3" s="249"/>
      <c r="D3" s="249"/>
      <c r="E3" s="249"/>
      <c r="F3" s="249"/>
      <c r="G3" s="249"/>
      <c r="H3" s="249"/>
      <c r="I3" s="249"/>
      <c r="J3" s="249"/>
      <c r="K3" s="249"/>
      <c r="L3" s="249"/>
      <c r="M3" s="249"/>
      <c r="N3" s="249"/>
      <c r="O3" s="249"/>
      <c r="P3" s="249"/>
      <c r="Q3" s="249"/>
      <c r="R3" s="249"/>
      <c r="S3" s="250"/>
      <c r="T3" s="250"/>
      <c r="U3" s="250"/>
      <c r="V3" s="250"/>
      <c r="W3" s="250"/>
      <c r="X3" s="250"/>
      <c r="Y3" s="250"/>
      <c r="Z3" s="250"/>
      <c r="AA3" s="250"/>
      <c r="AB3" s="250"/>
      <c r="AC3" s="249"/>
      <c r="AD3" s="250"/>
      <c r="AE3" s="250"/>
      <c r="AF3" s="250"/>
      <c r="AG3" s="250"/>
      <c r="AH3" s="250"/>
      <c r="AI3" s="250"/>
      <c r="AJ3" s="250"/>
      <c r="AK3" s="250"/>
      <c r="AL3" s="250"/>
      <c r="AM3" s="5"/>
      <c r="AN3" s="5"/>
      <c r="AO3" s="5"/>
      <c r="AP3" s="5"/>
      <c r="AQ3" s="5"/>
      <c r="AR3" s="5"/>
      <c r="AS3" s="5"/>
      <c r="AT3" s="5"/>
      <c r="AU3" s="4"/>
      <c r="AV3" s="5"/>
      <c r="AW3" s="5"/>
      <c r="AX3" s="5"/>
      <c r="AY3" s="5"/>
      <c r="AZ3" s="5"/>
      <c r="BA3" s="5"/>
      <c r="BB3" s="5"/>
      <c r="BC3" s="5"/>
      <c r="BD3" s="5"/>
      <c r="BE3" s="5"/>
      <c r="BF3" s="5"/>
      <c r="BG3" s="5"/>
      <c r="BI3" s="7"/>
      <c r="BJ3" s="5"/>
      <c r="BK3" s="5"/>
      <c r="BL3" s="5"/>
      <c r="BM3" s="5"/>
      <c r="BN3" s="5"/>
      <c r="BO3" s="5"/>
      <c r="BP3" s="5"/>
      <c r="BQ3" s="5"/>
      <c r="BR3" s="5"/>
      <c r="BS3" s="5"/>
      <c r="BT3" s="5"/>
    </row>
    <row r="4" spans="1:78" ht="14.5" thickBot="1">
      <c r="B4" s="9"/>
      <c r="C4" s="8">
        <v>1990</v>
      </c>
      <c r="D4" s="10" t="s">
        <v>96</v>
      </c>
      <c r="E4" s="10" t="s">
        <v>97</v>
      </c>
      <c r="F4" s="8">
        <v>1993</v>
      </c>
      <c r="G4" s="8">
        <v>1994</v>
      </c>
      <c r="H4" s="8">
        <v>1995</v>
      </c>
      <c r="I4" s="8">
        <v>1996</v>
      </c>
      <c r="J4" s="8">
        <v>1997</v>
      </c>
      <c r="K4" s="8">
        <v>1998</v>
      </c>
      <c r="L4" s="8">
        <v>1999</v>
      </c>
      <c r="M4" s="8">
        <v>2000</v>
      </c>
      <c r="N4" s="8">
        <v>2001</v>
      </c>
      <c r="O4" s="8">
        <v>2002</v>
      </c>
      <c r="P4" s="8">
        <v>2003</v>
      </c>
      <c r="Q4" s="8">
        <v>2004</v>
      </c>
      <c r="R4" s="8">
        <v>2005</v>
      </c>
      <c r="S4" s="8">
        <v>2006</v>
      </c>
      <c r="T4" s="8">
        <v>2007</v>
      </c>
      <c r="U4" s="8">
        <v>2008</v>
      </c>
      <c r="V4" s="8">
        <v>2009</v>
      </c>
      <c r="W4" s="8">
        <v>2010</v>
      </c>
      <c r="X4" s="8">
        <v>2011</v>
      </c>
      <c r="Y4" s="8">
        <v>2012</v>
      </c>
      <c r="Z4" s="8">
        <v>2013</v>
      </c>
      <c r="AA4" s="8">
        <v>2014</v>
      </c>
      <c r="AB4" s="8">
        <v>2015</v>
      </c>
      <c r="AC4" s="8">
        <v>2016</v>
      </c>
      <c r="AD4" s="8">
        <v>2017</v>
      </c>
      <c r="AE4" s="8">
        <v>2018</v>
      </c>
      <c r="AF4" s="8">
        <v>2019</v>
      </c>
      <c r="AG4" s="8">
        <v>2020</v>
      </c>
      <c r="AH4" s="8">
        <v>2021</v>
      </c>
      <c r="AI4" s="8">
        <v>2022</v>
      </c>
      <c r="AJ4" s="8">
        <v>2023</v>
      </c>
      <c r="AK4" s="8">
        <v>2024</v>
      </c>
      <c r="AL4" s="8">
        <v>2025</v>
      </c>
      <c r="AM4" s="5"/>
      <c r="AN4" s="4"/>
      <c r="AO4" s="5"/>
      <c r="AP4" s="5"/>
      <c r="AQ4" s="5"/>
      <c r="AR4" s="5"/>
      <c r="AS4" s="5"/>
      <c r="AT4" s="5"/>
      <c r="AU4" s="5"/>
      <c r="AV4" s="5"/>
      <c r="AW4" s="5"/>
      <c r="AX4" s="5"/>
      <c r="AY4" s="5"/>
      <c r="AZ4" s="5"/>
      <c r="BA4" s="4"/>
      <c r="BB4" s="5"/>
      <c r="BC4" s="5"/>
      <c r="BD4" s="5"/>
      <c r="BE4" s="5"/>
      <c r="BF4" s="5"/>
      <c r="BG4" s="5"/>
      <c r="BH4" s="5"/>
      <c r="BI4" s="5"/>
      <c r="BJ4" s="5"/>
      <c r="BK4" s="5"/>
      <c r="BL4" s="5"/>
      <c r="BM4" s="5"/>
      <c r="BO4" s="7"/>
      <c r="BP4" s="5"/>
      <c r="BQ4" s="5"/>
      <c r="BR4" s="5"/>
      <c r="BS4" s="5"/>
      <c r="BT4" s="5"/>
      <c r="BU4" s="5"/>
      <c r="BV4" s="5"/>
      <c r="BW4" s="5"/>
      <c r="BX4" s="5"/>
      <c r="BY4" s="5"/>
      <c r="BZ4" s="5"/>
    </row>
    <row r="5" spans="1:78" ht="14">
      <c r="B5" s="11" t="s">
        <v>8</v>
      </c>
      <c r="C5" s="108">
        <v>5403875.771497</v>
      </c>
      <c r="D5" s="108">
        <v>5517170.0794018749</v>
      </c>
      <c r="E5" s="108">
        <v>5812724.7947467119</v>
      </c>
      <c r="F5" s="108">
        <v>4530188.7932419991</v>
      </c>
      <c r="G5" s="108">
        <v>5524856.4110529991</v>
      </c>
      <c r="H5" s="108">
        <v>5713285.4837799994</v>
      </c>
      <c r="I5" s="108">
        <v>5368309.153655</v>
      </c>
      <c r="J5" s="108">
        <v>4553174.0506559992</v>
      </c>
      <c r="K5" s="108">
        <v>4117885.7023569997</v>
      </c>
      <c r="L5" s="108">
        <v>4105486.1108729988</v>
      </c>
      <c r="M5" s="108">
        <v>4489302.4183560014</v>
      </c>
      <c r="N5" s="108">
        <v>3801158.2124315384</v>
      </c>
      <c r="O5" s="108">
        <v>3109309.8295705738</v>
      </c>
      <c r="P5" s="108">
        <v>2466185.1958429557</v>
      </c>
      <c r="Q5" s="108">
        <v>3029140.1750205536</v>
      </c>
      <c r="R5" s="108">
        <v>3439340.6931801471</v>
      </c>
      <c r="S5" s="108">
        <v>3634428.2712766007</v>
      </c>
      <c r="T5" s="108">
        <v>2375571.2621860448</v>
      </c>
      <c r="U5" s="108">
        <v>4100828.317019756</v>
      </c>
      <c r="V5" s="108">
        <v>3872143.1858818517</v>
      </c>
      <c r="W5" s="108">
        <v>4615906.9574367683</v>
      </c>
      <c r="X5" s="108">
        <v>4058625.7975379135</v>
      </c>
      <c r="Y5" s="108">
        <v>5228199.9652907923</v>
      </c>
      <c r="Z5" s="108">
        <v>4820155.3767383173</v>
      </c>
      <c r="AA5" s="108">
        <v>4981070.6430140603</v>
      </c>
      <c r="AB5" s="108">
        <v>5699602.7892932389</v>
      </c>
      <c r="AC5" s="108">
        <v>5962551.6632273309</v>
      </c>
      <c r="AD5" s="108">
        <v>4600348.4991441891</v>
      </c>
      <c r="AE5" s="108">
        <v>3528898.1111817006</v>
      </c>
      <c r="AF5" s="108">
        <v>3059445.8248722362</v>
      </c>
      <c r="AG5" s="108">
        <v>2215486.0805155686</v>
      </c>
      <c r="AH5" s="108">
        <v>0</v>
      </c>
      <c r="AI5" s="108">
        <v>0</v>
      </c>
      <c r="AJ5" s="108">
        <v>0</v>
      </c>
      <c r="AK5" s="108">
        <v>0</v>
      </c>
      <c r="AL5" s="108">
        <v>0</v>
      </c>
      <c r="AM5" s="5"/>
      <c r="AN5" s="4"/>
      <c r="AO5" s="5"/>
      <c r="AP5" s="5"/>
      <c r="AQ5" s="5"/>
      <c r="AR5" s="5"/>
      <c r="AS5" s="5"/>
      <c r="AT5" s="5"/>
      <c r="AU5" s="5"/>
      <c r="AV5" s="5"/>
      <c r="AW5" s="5"/>
      <c r="AX5" s="5"/>
      <c r="AY5" s="5"/>
      <c r="AZ5" s="5"/>
      <c r="BA5" s="4"/>
      <c r="BB5" s="5"/>
      <c r="BC5" s="5"/>
      <c r="BD5" s="5"/>
      <c r="BE5" s="5"/>
      <c r="BF5" s="5"/>
      <c r="BG5" s="5"/>
      <c r="BH5" s="5"/>
      <c r="BI5" s="5"/>
      <c r="BJ5" s="5"/>
      <c r="BK5" s="5"/>
      <c r="BL5" s="5"/>
      <c r="BM5" s="5"/>
      <c r="BO5" s="7"/>
      <c r="BP5" s="5"/>
      <c r="BQ5" s="5"/>
      <c r="BR5" s="5"/>
      <c r="BS5" s="5"/>
      <c r="BT5" s="5"/>
      <c r="BU5" s="5"/>
      <c r="BV5" s="5"/>
      <c r="BW5" s="5"/>
      <c r="BX5" s="5"/>
      <c r="BY5" s="5"/>
      <c r="BZ5" s="5"/>
    </row>
    <row r="6" spans="1:78" ht="14">
      <c r="B6" s="11" t="s">
        <v>98</v>
      </c>
      <c r="C6" s="108">
        <v>205697.28075552551</v>
      </c>
      <c r="D6" s="108">
        <v>214446.24365893769</v>
      </c>
      <c r="E6" s="108">
        <v>255532.17508561013</v>
      </c>
      <c r="F6" s="108">
        <v>208165.03689825081</v>
      </c>
      <c r="G6" s="108">
        <v>291201.79605881509</v>
      </c>
      <c r="H6" s="108">
        <v>327813.40044110623</v>
      </c>
      <c r="I6" s="108">
        <v>382836.30270077934</v>
      </c>
      <c r="J6" s="108">
        <v>630181.51031123823</v>
      </c>
      <c r="K6" s="108">
        <v>581414.43463127199</v>
      </c>
      <c r="L6" s="108">
        <v>543934.32532483316</v>
      </c>
      <c r="M6" s="108">
        <v>476275.47403676464</v>
      </c>
      <c r="N6" s="108">
        <v>437675.81917557825</v>
      </c>
      <c r="O6" s="108">
        <v>406938.57962127944</v>
      </c>
      <c r="P6" s="108">
        <v>490105.64992673515</v>
      </c>
      <c r="Q6" s="108">
        <v>487370.55788170779</v>
      </c>
      <c r="R6" s="108">
        <v>452247.91255112714</v>
      </c>
      <c r="S6" s="108">
        <v>427651.95633640036</v>
      </c>
      <c r="T6" s="108">
        <v>408418.67499627813</v>
      </c>
      <c r="U6" s="108">
        <v>392533.25370027311</v>
      </c>
      <c r="V6" s="108">
        <v>423450.23170671641</v>
      </c>
      <c r="W6" s="108">
        <v>401977.16279420583</v>
      </c>
      <c r="X6" s="108">
        <v>452577.83382574195</v>
      </c>
      <c r="Y6" s="108">
        <v>417560.45029307291</v>
      </c>
      <c r="Z6" s="108">
        <v>395277.15987867117</v>
      </c>
      <c r="AA6" s="108">
        <v>422826.23707155068</v>
      </c>
      <c r="AB6" s="108">
        <v>401072.4467802376</v>
      </c>
      <c r="AC6" s="108">
        <v>386061.82645797281</v>
      </c>
      <c r="AD6" s="108">
        <v>374213.83354401425</v>
      </c>
      <c r="AE6" s="108">
        <v>364248.60237180238</v>
      </c>
      <c r="AF6" s="108">
        <v>355552.64183255797</v>
      </c>
      <c r="AG6" s="108">
        <v>347784.60658200394</v>
      </c>
      <c r="AH6" s="24">
        <v>340734.98465039779</v>
      </c>
      <c r="AI6" s="24">
        <v>334265.24068285839</v>
      </c>
      <c r="AJ6" s="24">
        <v>328278.12681537971</v>
      </c>
      <c r="AK6" s="24">
        <v>322701.98347361083</v>
      </c>
      <c r="AL6" s="24">
        <v>317481.90045141382</v>
      </c>
      <c r="AM6" s="5"/>
      <c r="AN6" s="4"/>
      <c r="AO6" s="5"/>
      <c r="AP6" s="5"/>
      <c r="AQ6" s="5"/>
      <c r="AR6" s="5"/>
      <c r="AS6" s="5"/>
      <c r="AT6" s="5"/>
      <c r="AU6" s="5"/>
      <c r="AV6" s="5"/>
      <c r="AW6" s="5"/>
      <c r="AX6" s="5"/>
      <c r="AY6" s="5"/>
      <c r="AZ6" s="5"/>
      <c r="BA6" s="4"/>
      <c r="BB6" s="5"/>
      <c r="BC6" s="5"/>
      <c r="BD6" s="5"/>
      <c r="BE6" s="5"/>
      <c r="BF6" s="5"/>
      <c r="BG6" s="5"/>
      <c r="BH6" s="5"/>
      <c r="BI6" s="5"/>
      <c r="BJ6" s="5"/>
      <c r="BK6" s="5"/>
      <c r="BL6" s="5"/>
      <c r="BM6" s="5"/>
      <c r="BO6" s="7"/>
      <c r="BP6" s="5"/>
      <c r="BQ6" s="5"/>
      <c r="BR6" s="5"/>
      <c r="BS6" s="5"/>
      <c r="BT6" s="5"/>
      <c r="BU6" s="5"/>
      <c r="BV6" s="5"/>
      <c r="BW6" s="5"/>
      <c r="BX6" s="5"/>
      <c r="BY6" s="5"/>
      <c r="BZ6" s="5"/>
    </row>
    <row r="7" spans="1:78" ht="14">
      <c r="B7" s="187" t="s">
        <v>99</v>
      </c>
      <c r="C7" s="108">
        <v>22314.407264293794</v>
      </c>
      <c r="D7" s="108">
        <v>24428.232687487485</v>
      </c>
      <c r="E7" s="108">
        <v>31476.256406321696</v>
      </c>
      <c r="F7" s="108">
        <v>24448.468012110032</v>
      </c>
      <c r="G7" s="108">
        <v>37935.049998064831</v>
      </c>
      <c r="H7" s="108">
        <v>105461.04956429306</v>
      </c>
      <c r="I7" s="108">
        <v>96655.928441654454</v>
      </c>
      <c r="J7" s="108">
        <v>124975.21085978983</v>
      </c>
      <c r="K7" s="108">
        <v>161466.23712663486</v>
      </c>
      <c r="L7" s="108">
        <v>134450.6875515719</v>
      </c>
      <c r="M7" s="108">
        <v>118886.94565759711</v>
      </c>
      <c r="N7" s="108">
        <v>108520.42888219302</v>
      </c>
      <c r="O7" s="108">
        <v>100995.849331577</v>
      </c>
      <c r="P7" s="108">
        <v>196236.03970138609</v>
      </c>
      <c r="Q7" s="108">
        <v>169665.92274295882</v>
      </c>
      <c r="R7" s="108">
        <v>154500.52221234373</v>
      </c>
      <c r="S7" s="108">
        <v>143954.60366423256</v>
      </c>
      <c r="T7" s="108">
        <v>135902.95898300284</v>
      </c>
      <c r="U7" s="108">
        <v>129412.53853515991</v>
      </c>
      <c r="V7" s="108">
        <v>123991.94805773441</v>
      </c>
      <c r="W7" s="108">
        <v>119350.68355337766</v>
      </c>
      <c r="X7" s="108">
        <v>125732.97864625667</v>
      </c>
      <c r="Y7" s="108">
        <v>118612.44215570249</v>
      </c>
      <c r="Z7" s="108">
        <v>113596.79125794652</v>
      </c>
      <c r="AA7" s="108">
        <v>109695.50898724103</v>
      </c>
      <c r="AB7" s="108">
        <v>106464.27565800359</v>
      </c>
      <c r="AC7" s="108">
        <v>103672.81469176301</v>
      </c>
      <c r="AD7" s="108">
        <v>101192.7199420125</v>
      </c>
      <c r="AE7" s="108">
        <v>98947.846861908823</v>
      </c>
      <c r="AF7" s="108">
        <v>96890.154745295833</v>
      </c>
      <c r="AG7" s="108">
        <v>94987.372257289695</v>
      </c>
      <c r="AH7" s="108">
        <v>93216.489276567096</v>
      </c>
      <c r="AI7" s="108">
        <v>91560.216595726219</v>
      </c>
      <c r="AJ7" s="108">
        <v>90004.994718000758</v>
      </c>
      <c r="AK7" s="108">
        <v>88539.829902204539</v>
      </c>
      <c r="AL7" s="108">
        <v>87155.583174988613</v>
      </c>
      <c r="AM7" s="5"/>
      <c r="AN7" s="4"/>
      <c r="AO7" s="5"/>
      <c r="AP7" s="5"/>
      <c r="AQ7" s="5"/>
      <c r="AR7" s="5"/>
      <c r="AS7" s="5"/>
      <c r="AT7" s="5"/>
      <c r="AU7" s="5"/>
      <c r="AV7" s="5"/>
      <c r="AW7" s="5"/>
      <c r="AX7" s="5"/>
      <c r="AY7" s="5"/>
      <c r="AZ7" s="5"/>
      <c r="BA7" s="4"/>
      <c r="BB7" s="5"/>
      <c r="BC7" s="5"/>
      <c r="BD7" s="5"/>
      <c r="BE7" s="5"/>
      <c r="BF7" s="5"/>
      <c r="BG7" s="5"/>
      <c r="BH7" s="5"/>
      <c r="BI7" s="5"/>
      <c r="BJ7" s="5"/>
      <c r="BK7" s="5"/>
      <c r="BL7" s="5"/>
      <c r="BM7" s="5"/>
      <c r="BO7" s="7"/>
      <c r="BP7" s="5"/>
      <c r="BQ7" s="5"/>
      <c r="BR7" s="5"/>
      <c r="BS7" s="5"/>
      <c r="BT7" s="5"/>
      <c r="BU7" s="5"/>
      <c r="BV7" s="5"/>
      <c r="BW7" s="5"/>
      <c r="BX7" s="5"/>
      <c r="BY7" s="5"/>
      <c r="BZ7" s="5"/>
    </row>
    <row r="8" spans="1:78" ht="14">
      <c r="B8" s="187" t="s">
        <v>100</v>
      </c>
      <c r="C8" s="108">
        <v>160889.57815865456</v>
      </c>
      <c r="D8" s="108">
        <v>165498.49567442719</v>
      </c>
      <c r="E8" s="108">
        <v>192533.08278399592</v>
      </c>
      <c r="F8" s="108">
        <v>159244.33239497626</v>
      </c>
      <c r="G8" s="108">
        <v>215319.5675355366</v>
      </c>
      <c r="H8" s="108">
        <v>192669.24091156188</v>
      </c>
      <c r="I8" s="108">
        <v>248891.70110551963</v>
      </c>
      <c r="J8" s="108">
        <v>431158.0842443484</v>
      </c>
      <c r="K8" s="108">
        <v>364636.24363333051</v>
      </c>
      <c r="L8" s="108">
        <v>364204.89209348813</v>
      </c>
      <c r="M8" s="108">
        <v>317986.77833173919</v>
      </c>
      <c r="N8" s="108">
        <v>293464.61391714431</v>
      </c>
      <c r="O8" s="108">
        <v>272776.57351202122</v>
      </c>
      <c r="P8" s="108">
        <v>262547.30073382868</v>
      </c>
      <c r="Q8" s="108">
        <v>287814.87509704835</v>
      </c>
      <c r="R8" s="108">
        <v>269027.06911639182</v>
      </c>
      <c r="S8" s="108">
        <v>255967.78907734313</v>
      </c>
      <c r="T8" s="108">
        <v>245648.37797002782</v>
      </c>
      <c r="U8" s="108">
        <v>237018.31034907262</v>
      </c>
      <c r="V8" s="108">
        <v>274044.00430688733</v>
      </c>
      <c r="W8" s="108">
        <v>257837.65741606365</v>
      </c>
      <c r="X8" s="108">
        <v>292198.70883626991</v>
      </c>
      <c r="Y8" s="108">
        <v>268369.35382138006</v>
      </c>
      <c r="Z8" s="108">
        <v>253402.33750168124</v>
      </c>
      <c r="AA8" s="108">
        <v>286315.44786056713</v>
      </c>
      <c r="AB8" s="108">
        <v>268815.68921258196</v>
      </c>
      <c r="AC8" s="108">
        <v>257373.80922464206</v>
      </c>
      <c r="AD8" s="108">
        <v>248637.82861142943</v>
      </c>
      <c r="AE8" s="108">
        <v>241457.52345020525</v>
      </c>
      <c r="AF8" s="108">
        <v>235297.058605025</v>
      </c>
      <c r="AG8" s="108">
        <v>229864.4476898757</v>
      </c>
      <c r="AH8" s="108">
        <v>224983.5451204881</v>
      </c>
      <c r="AI8" s="108">
        <v>220539.74284073376</v>
      </c>
      <c r="AJ8" s="108">
        <v>216453.86656940327</v>
      </c>
      <c r="AK8" s="108">
        <v>212668.50086718943</v>
      </c>
      <c r="AL8" s="108">
        <v>209140.33678899534</v>
      </c>
      <c r="AM8" s="5"/>
      <c r="AN8" s="4"/>
      <c r="AO8" s="5"/>
      <c r="AP8" s="5"/>
      <c r="AQ8" s="5"/>
      <c r="AR8" s="5"/>
      <c r="AS8" s="5"/>
      <c r="AT8" s="5"/>
      <c r="AU8" s="5"/>
      <c r="AV8" s="5"/>
      <c r="AW8" s="5"/>
      <c r="AX8" s="5"/>
      <c r="AY8" s="5"/>
      <c r="AZ8" s="5"/>
      <c r="BA8" s="4"/>
      <c r="BB8" s="5"/>
      <c r="BC8" s="5"/>
      <c r="BD8" s="5"/>
      <c r="BE8" s="5"/>
      <c r="BF8" s="5"/>
      <c r="BG8" s="5"/>
      <c r="BH8" s="5"/>
      <c r="BI8" s="5"/>
      <c r="BJ8" s="5"/>
      <c r="BK8" s="5"/>
      <c r="BL8" s="5"/>
      <c r="BM8" s="5"/>
      <c r="BO8" s="7"/>
      <c r="BP8" s="5"/>
      <c r="BQ8" s="5"/>
      <c r="BR8" s="5"/>
      <c r="BS8" s="5"/>
      <c r="BT8" s="5"/>
      <c r="BU8" s="5"/>
      <c r="BV8" s="5"/>
      <c r="BW8" s="5"/>
      <c r="BX8" s="5"/>
      <c r="BY8" s="5"/>
      <c r="BZ8" s="5"/>
    </row>
    <row r="9" spans="1:78" ht="14">
      <c r="B9" s="187" t="s">
        <v>101</v>
      </c>
      <c r="C9" s="108">
        <v>22493.295332577152</v>
      </c>
      <c r="D9" s="108">
        <v>24519.515297023005</v>
      </c>
      <c r="E9" s="108">
        <v>31522.835895292512</v>
      </c>
      <c r="F9" s="108">
        <v>24472.236491164498</v>
      </c>
      <c r="G9" s="108">
        <v>37947.178525213698</v>
      </c>
      <c r="H9" s="108">
        <v>29683.109965251271</v>
      </c>
      <c r="I9" s="108">
        <v>37288.673153605247</v>
      </c>
      <c r="J9" s="108">
        <v>74048.215207099973</v>
      </c>
      <c r="K9" s="108">
        <v>55311.953871306592</v>
      </c>
      <c r="L9" s="108">
        <v>45278.745679773172</v>
      </c>
      <c r="M9" s="108">
        <v>39401.750047428373</v>
      </c>
      <c r="N9" s="108">
        <v>35690.776376240923</v>
      </c>
      <c r="O9" s="108">
        <v>33166.156777681193</v>
      </c>
      <c r="P9" s="108">
        <v>31322.309491520355</v>
      </c>
      <c r="Q9" s="108">
        <v>29889.760041700643</v>
      </c>
      <c r="R9" s="108">
        <v>28720.321222391591</v>
      </c>
      <c r="S9" s="108">
        <v>27729.56359482466</v>
      </c>
      <c r="T9" s="108">
        <v>26867.338043247459</v>
      </c>
      <c r="U9" s="108">
        <v>26102.404816040602</v>
      </c>
      <c r="V9" s="108">
        <v>25414.279342094655</v>
      </c>
      <c r="W9" s="108">
        <v>24788.821824764487</v>
      </c>
      <c r="X9" s="108">
        <v>34646.146343215369</v>
      </c>
      <c r="Y9" s="108">
        <v>30578.654315990359</v>
      </c>
      <c r="Z9" s="108">
        <v>28278.031119043386</v>
      </c>
      <c r="AA9" s="108">
        <v>26815.280223742542</v>
      </c>
      <c r="AB9" s="108">
        <v>25792.481909652037</v>
      </c>
      <c r="AC9" s="108">
        <v>25015.202541567756</v>
      </c>
      <c r="AD9" s="108">
        <v>24383.284990572294</v>
      </c>
      <c r="AE9" s="108">
        <v>23843.232059688322</v>
      </c>
      <c r="AF9" s="108">
        <v>23365.428482237156</v>
      </c>
      <c r="AG9" s="108">
        <v>22932.786634838543</v>
      </c>
      <c r="AH9" s="108">
        <v>22534.950253342609</v>
      </c>
      <c r="AI9" s="108">
        <v>22165.281246398379</v>
      </c>
      <c r="AJ9" s="108">
        <v>21819.265527975691</v>
      </c>
      <c r="AK9" s="108">
        <v>21493.652704216907</v>
      </c>
      <c r="AL9" s="108">
        <v>21185.980487429864</v>
      </c>
      <c r="AM9" s="5"/>
      <c r="AN9" s="4"/>
      <c r="AO9" s="5"/>
      <c r="AP9" s="5"/>
      <c r="AQ9" s="5"/>
      <c r="AR9" s="5"/>
      <c r="AS9" s="5"/>
      <c r="AT9" s="5"/>
      <c r="AU9" s="5"/>
      <c r="AV9" s="5"/>
      <c r="AW9" s="5"/>
      <c r="AX9" s="5"/>
      <c r="AY9" s="5"/>
      <c r="AZ9" s="5"/>
      <c r="BA9" s="4"/>
      <c r="BB9" s="5"/>
      <c r="BC9" s="5"/>
      <c r="BD9" s="5"/>
      <c r="BE9" s="5"/>
      <c r="BF9" s="5"/>
      <c r="BG9" s="5"/>
      <c r="BH9" s="5"/>
      <c r="BI9" s="5"/>
      <c r="BJ9" s="5"/>
      <c r="BK9" s="5"/>
      <c r="BL9" s="5"/>
      <c r="BM9" s="5"/>
      <c r="BO9" s="7"/>
      <c r="BP9" s="5"/>
      <c r="BQ9" s="5"/>
      <c r="BR9" s="5"/>
      <c r="BS9" s="5"/>
      <c r="BT9" s="5"/>
      <c r="BU9" s="5"/>
      <c r="BV9" s="5"/>
      <c r="BW9" s="5"/>
      <c r="BX9" s="5"/>
      <c r="BY9" s="5"/>
      <c r="BZ9" s="5"/>
    </row>
    <row r="10" spans="1:78" ht="14.5" thickBot="1">
      <c r="B10" s="321" t="s">
        <v>102</v>
      </c>
      <c r="C10" s="356"/>
      <c r="D10" s="356"/>
      <c r="E10" s="356"/>
      <c r="F10" s="356"/>
      <c r="G10" s="356"/>
      <c r="H10" s="356"/>
      <c r="I10" s="356"/>
      <c r="J10" s="356"/>
      <c r="K10" s="356"/>
      <c r="L10" s="356"/>
      <c r="M10" s="356"/>
      <c r="N10" s="356"/>
      <c r="O10" s="356"/>
      <c r="P10" s="356"/>
      <c r="Q10" s="356"/>
      <c r="R10" s="356"/>
      <c r="S10" s="356"/>
      <c r="T10" s="356"/>
      <c r="U10" s="356"/>
      <c r="V10" s="356"/>
      <c r="W10" s="356"/>
      <c r="X10" s="356"/>
      <c r="Y10" s="356"/>
      <c r="Z10" s="356"/>
      <c r="AA10" s="356"/>
      <c r="AB10" s="356"/>
      <c r="AC10" s="356"/>
      <c r="AD10" s="356"/>
      <c r="AE10" s="356"/>
      <c r="AF10" s="356"/>
      <c r="AG10" s="356"/>
      <c r="AH10" s="356"/>
      <c r="AI10" s="356"/>
      <c r="AJ10" s="356"/>
      <c r="AK10" s="356"/>
      <c r="AL10" s="356"/>
      <c r="AM10" s="5"/>
      <c r="AN10" s="4"/>
      <c r="AO10" s="5"/>
      <c r="AP10" s="5"/>
      <c r="AQ10" s="5"/>
      <c r="AR10" s="5"/>
      <c r="AS10" s="5"/>
      <c r="AT10" s="5"/>
      <c r="AU10" s="5"/>
      <c r="AV10" s="5"/>
      <c r="AW10" s="5"/>
      <c r="AX10" s="5"/>
      <c r="AY10" s="5"/>
      <c r="AZ10" s="5"/>
      <c r="BA10" s="4"/>
      <c r="BB10" s="5"/>
      <c r="BC10" s="5"/>
      <c r="BD10" s="5"/>
      <c r="BE10" s="5"/>
      <c r="BF10" s="5"/>
      <c r="BG10" s="5"/>
      <c r="BH10" s="5"/>
      <c r="BI10" s="5"/>
      <c r="BJ10" s="5"/>
      <c r="BK10" s="5"/>
      <c r="BL10" s="5"/>
      <c r="BM10" s="5"/>
    </row>
    <row r="11" spans="1:78" customFormat="1"/>
    <row r="12" spans="1:78" ht="14.5" hidden="1" thickBot="1">
      <c r="B12" s="8" t="s">
        <v>103</v>
      </c>
      <c r="C12" s="251"/>
      <c r="D12" s="251"/>
      <c r="E12" s="251"/>
      <c r="F12" s="251"/>
      <c r="G12" s="251"/>
      <c r="H12" s="251"/>
      <c r="I12" s="251"/>
      <c r="J12" s="251"/>
      <c r="K12" s="251"/>
      <c r="L12" s="251"/>
      <c r="M12" s="251"/>
      <c r="N12" s="251"/>
      <c r="O12" s="251"/>
      <c r="P12" s="251"/>
      <c r="Q12" s="251"/>
      <c r="R12" s="251"/>
      <c r="S12" s="251"/>
      <c r="T12" s="251"/>
      <c r="U12" s="251"/>
      <c r="V12" s="251"/>
      <c r="W12" s="251"/>
      <c r="X12" s="251"/>
      <c r="Y12" s="251"/>
      <c r="Z12" s="251"/>
      <c r="AA12" s="251"/>
      <c r="AB12" s="251"/>
      <c r="AC12" s="251"/>
      <c r="AD12" s="251"/>
      <c r="AE12" s="251"/>
      <c r="AF12" s="251"/>
      <c r="AG12" s="251"/>
      <c r="AH12" s="251"/>
      <c r="AI12" s="251"/>
      <c r="AJ12" s="251"/>
      <c r="AK12" s="251"/>
      <c r="AL12" s="251"/>
      <c r="AM12" s="5"/>
      <c r="AN12" s="4"/>
      <c r="AO12" s="5"/>
      <c r="AP12" s="5"/>
      <c r="AQ12" s="5"/>
      <c r="AR12" s="5"/>
      <c r="AS12" s="5"/>
      <c r="AT12" s="5"/>
      <c r="AU12" s="5"/>
      <c r="AV12" s="5"/>
      <c r="AW12" s="5"/>
      <c r="AX12" s="5"/>
      <c r="AY12" s="5"/>
      <c r="AZ12" s="5"/>
      <c r="BA12" s="4"/>
      <c r="BB12" s="5"/>
      <c r="BC12" s="5"/>
      <c r="BD12" s="5"/>
      <c r="BE12" s="5"/>
      <c r="BF12" s="5"/>
      <c r="BG12" s="5"/>
      <c r="BH12" s="5"/>
      <c r="BI12" s="5"/>
      <c r="BJ12" s="5"/>
      <c r="BK12" s="5"/>
      <c r="BL12" s="5"/>
      <c r="BM12" s="5"/>
    </row>
    <row r="13" spans="1:78" ht="14.5" hidden="1" thickBot="1">
      <c r="B13" s="9"/>
      <c r="C13" s="8">
        <v>1990</v>
      </c>
      <c r="D13" s="10" t="s">
        <v>96</v>
      </c>
      <c r="E13" s="10" t="s">
        <v>97</v>
      </c>
      <c r="F13" s="8">
        <v>1993</v>
      </c>
      <c r="G13" s="8">
        <v>1994</v>
      </c>
      <c r="H13" s="8">
        <v>1995</v>
      </c>
      <c r="I13" s="8">
        <v>1996</v>
      </c>
      <c r="J13" s="8">
        <v>1997</v>
      </c>
      <c r="K13" s="8">
        <v>1998</v>
      </c>
      <c r="L13" s="8">
        <v>1999</v>
      </c>
      <c r="M13" s="8">
        <v>2000</v>
      </c>
      <c r="N13" s="8">
        <v>2001</v>
      </c>
      <c r="O13" s="8">
        <v>2002</v>
      </c>
      <c r="P13" s="8">
        <v>2003</v>
      </c>
      <c r="Q13" s="8">
        <v>2004</v>
      </c>
      <c r="R13" s="8">
        <v>2005</v>
      </c>
      <c r="S13" s="8">
        <v>2006</v>
      </c>
      <c r="T13" s="8">
        <v>2007</v>
      </c>
      <c r="U13" s="8">
        <v>2008</v>
      </c>
      <c r="V13" s="8">
        <v>2009</v>
      </c>
      <c r="W13" s="8">
        <v>2010</v>
      </c>
      <c r="X13" s="8">
        <v>2011</v>
      </c>
      <c r="Y13" s="8">
        <v>2012</v>
      </c>
      <c r="Z13" s="8">
        <v>2013</v>
      </c>
      <c r="AA13" s="8">
        <v>2014</v>
      </c>
      <c r="AB13" s="8">
        <v>2015</v>
      </c>
      <c r="AC13" s="8">
        <v>2016</v>
      </c>
      <c r="AD13" s="8">
        <v>2017</v>
      </c>
      <c r="AE13" s="8">
        <v>2018</v>
      </c>
      <c r="AF13" s="8">
        <v>2019</v>
      </c>
      <c r="AG13" s="8">
        <v>2020</v>
      </c>
      <c r="AH13" s="8">
        <v>2020</v>
      </c>
      <c r="AI13" s="8">
        <v>2020</v>
      </c>
      <c r="AJ13" s="8">
        <v>2020</v>
      </c>
      <c r="AK13" s="8">
        <v>2020</v>
      </c>
      <c r="AL13" s="8">
        <v>2020</v>
      </c>
      <c r="AM13" s="5"/>
      <c r="AN13" s="4"/>
      <c r="AO13" s="5"/>
      <c r="AP13" s="5"/>
      <c r="AQ13" s="5"/>
      <c r="AR13" s="5"/>
      <c r="AS13" s="5"/>
      <c r="AT13" s="5"/>
      <c r="AU13" s="5"/>
      <c r="AV13" s="5"/>
      <c r="AW13" s="5"/>
      <c r="AX13" s="5"/>
      <c r="AY13" s="5"/>
      <c r="AZ13" s="5"/>
      <c r="BA13" s="4"/>
      <c r="BB13" s="5"/>
      <c r="BC13" s="5"/>
      <c r="BD13" s="5"/>
      <c r="BE13" s="5"/>
      <c r="BF13" s="5"/>
      <c r="BG13" s="5"/>
      <c r="BH13" s="5"/>
      <c r="BI13" s="5"/>
      <c r="BJ13" s="5"/>
      <c r="BK13" s="5"/>
      <c r="BL13" s="5"/>
      <c r="BM13" s="5"/>
    </row>
    <row r="14" spans="1:78" ht="14" hidden="1">
      <c r="B14" s="11" t="s">
        <v>8</v>
      </c>
      <c r="C14" s="108">
        <f t="shared" ref="C14:R14" si="0">C5/CO2_C</f>
        <v>1473784.3013173637</v>
      </c>
      <c r="D14" s="108">
        <f t="shared" si="0"/>
        <v>1504682.7489277842</v>
      </c>
      <c r="E14" s="108">
        <f t="shared" si="0"/>
        <v>1585288.580385467</v>
      </c>
      <c r="F14" s="108">
        <f t="shared" si="0"/>
        <v>1235506.0345205453</v>
      </c>
      <c r="G14" s="108">
        <f t="shared" si="0"/>
        <v>1506779.0211962725</v>
      </c>
      <c r="H14" s="108">
        <f t="shared" si="0"/>
        <v>1558168.7683036362</v>
      </c>
      <c r="I14" s="108">
        <f t="shared" si="0"/>
        <v>1464084.3146331818</v>
      </c>
      <c r="J14" s="108">
        <f t="shared" si="0"/>
        <v>1241774.7410879999</v>
      </c>
      <c r="K14" s="108">
        <f t="shared" si="0"/>
        <v>1123059.7370064545</v>
      </c>
      <c r="L14" s="108">
        <f t="shared" si="0"/>
        <v>1119678.0302380905</v>
      </c>
      <c r="M14" s="108">
        <f t="shared" si="0"/>
        <v>1224355.2050061822</v>
      </c>
      <c r="N14" s="108">
        <f t="shared" si="0"/>
        <v>1036679.5124813287</v>
      </c>
      <c r="O14" s="108">
        <f t="shared" si="0"/>
        <v>847993.58988288383</v>
      </c>
      <c r="P14" s="108">
        <f t="shared" si="0"/>
        <v>672595.96250262437</v>
      </c>
      <c r="Q14" s="108">
        <f t="shared" si="0"/>
        <v>826129.13864196918</v>
      </c>
      <c r="R14" s="108">
        <f t="shared" si="0"/>
        <v>938002.00723094924</v>
      </c>
      <c r="S14" s="108">
        <f t="shared" ref="S14:AG14" si="1">S5/CO2_C</f>
        <v>991207.71034816385</v>
      </c>
      <c r="T14" s="108">
        <f t="shared" si="1"/>
        <v>647883.07150528498</v>
      </c>
      <c r="U14" s="108">
        <f t="shared" si="1"/>
        <v>1118407.7228235698</v>
      </c>
      <c r="V14" s="108">
        <f t="shared" si="1"/>
        <v>1056039.0506950505</v>
      </c>
      <c r="W14" s="108">
        <f t="shared" si="1"/>
        <v>1258883.7156645732</v>
      </c>
      <c r="X14" s="108">
        <f t="shared" si="1"/>
        <v>1106897.9447830673</v>
      </c>
      <c r="Y14" s="108">
        <f t="shared" si="1"/>
        <v>1425872.7178065798</v>
      </c>
      <c r="Z14" s="108">
        <f t="shared" si="1"/>
        <v>1314587.8300195411</v>
      </c>
      <c r="AA14" s="108">
        <f t="shared" si="1"/>
        <v>1358473.8117311075</v>
      </c>
      <c r="AB14" s="108">
        <f t="shared" si="1"/>
        <v>1554437.1243527015</v>
      </c>
      <c r="AC14" s="108">
        <f t="shared" si="1"/>
        <v>1626150.453607454</v>
      </c>
      <c r="AD14" s="108">
        <f t="shared" si="1"/>
        <v>1254640.4997665971</v>
      </c>
      <c r="AE14" s="108">
        <f t="shared" si="1"/>
        <v>962426.75759500929</v>
      </c>
      <c r="AF14" s="108">
        <f t="shared" si="1"/>
        <v>834394.3158742463</v>
      </c>
      <c r="AG14" s="108">
        <f t="shared" si="1"/>
        <v>604223.47650424601</v>
      </c>
      <c r="AH14" s="108">
        <f t="shared" ref="AH14:AL14" si="2">AH5/CO2_C</f>
        <v>0</v>
      </c>
      <c r="AI14" s="108">
        <f t="shared" si="2"/>
        <v>0</v>
      </c>
      <c r="AJ14" s="108">
        <f t="shared" si="2"/>
        <v>0</v>
      </c>
      <c r="AK14" s="108">
        <f t="shared" si="2"/>
        <v>0</v>
      </c>
      <c r="AL14" s="108">
        <f t="shared" si="2"/>
        <v>0</v>
      </c>
      <c r="AM14" s="5"/>
      <c r="AN14" s="4"/>
      <c r="AO14" s="5"/>
      <c r="AP14" s="5"/>
      <c r="AQ14" s="5"/>
      <c r="AR14" s="5"/>
      <c r="AS14" s="5"/>
      <c r="AT14" s="5"/>
      <c r="AU14" s="5"/>
      <c r="AV14" s="5"/>
      <c r="AW14" s="5"/>
      <c r="AX14" s="5"/>
      <c r="AY14" s="5"/>
      <c r="AZ14" s="5"/>
      <c r="BA14" s="4"/>
      <c r="BB14" s="5"/>
      <c r="BC14" s="5"/>
      <c r="BD14" s="5"/>
      <c r="BE14" s="5"/>
      <c r="BF14" s="5"/>
      <c r="BG14" s="5"/>
      <c r="BH14" s="5"/>
      <c r="BI14" s="5"/>
      <c r="BJ14" s="5"/>
      <c r="BK14" s="5"/>
      <c r="BL14" s="5"/>
      <c r="BM14" s="5"/>
    </row>
    <row r="15" spans="1:78" ht="14" hidden="1">
      <c r="B15" s="11" t="s">
        <v>98</v>
      </c>
      <c r="C15" s="108">
        <f t="shared" ref="C15:R15" si="3">C6/CO2_C</f>
        <v>56099.258387870599</v>
      </c>
      <c r="D15" s="108">
        <f t="shared" si="3"/>
        <v>58485.339179710281</v>
      </c>
      <c r="E15" s="108">
        <f t="shared" si="3"/>
        <v>69690.593205166399</v>
      </c>
      <c r="F15" s="108">
        <f t="shared" si="3"/>
        <v>56772.282790432044</v>
      </c>
      <c r="G15" s="108">
        <f t="shared" si="3"/>
        <v>79418.671652404111</v>
      </c>
      <c r="H15" s="108">
        <f t="shared" si="3"/>
        <v>89403.654665756243</v>
      </c>
      <c r="I15" s="108">
        <f t="shared" si="3"/>
        <v>104409.90073657619</v>
      </c>
      <c r="J15" s="108">
        <f t="shared" si="3"/>
        <v>171867.6846303377</v>
      </c>
      <c r="K15" s="108">
        <f t="shared" si="3"/>
        <v>158567.57308125601</v>
      </c>
      <c r="L15" s="108">
        <f t="shared" si="3"/>
        <v>148345.72508859087</v>
      </c>
      <c r="M15" s="108">
        <f t="shared" si="3"/>
        <v>129893.31110093581</v>
      </c>
      <c r="N15" s="108">
        <f t="shared" si="3"/>
        <v>119366.13250243044</v>
      </c>
      <c r="O15" s="108">
        <f t="shared" si="3"/>
        <v>110983.24898762167</v>
      </c>
      <c r="P15" s="108">
        <f t="shared" si="3"/>
        <v>133665.17725274595</v>
      </c>
      <c r="Q15" s="108">
        <f t="shared" si="3"/>
        <v>132919.24305864758</v>
      </c>
      <c r="R15" s="108">
        <f t="shared" si="3"/>
        <v>123340.33978667104</v>
      </c>
      <c r="S15" s="108">
        <f t="shared" ref="S15:AG15" si="4">S6/CO2_C</f>
        <v>116632.35172810919</v>
      </c>
      <c r="T15" s="108">
        <f t="shared" si="4"/>
        <v>111386.91136262131</v>
      </c>
      <c r="U15" s="108">
        <f t="shared" si="4"/>
        <v>107054.52373643813</v>
      </c>
      <c r="V15" s="108">
        <f t="shared" si="4"/>
        <v>115486.42682910449</v>
      </c>
      <c r="W15" s="108">
        <f t="shared" si="4"/>
        <v>109630.13530751069</v>
      </c>
      <c r="X15" s="108">
        <f t="shared" si="4"/>
        <v>123430.31831611144</v>
      </c>
      <c r="Y15" s="108">
        <f t="shared" si="4"/>
        <v>113880.12280720171</v>
      </c>
      <c r="Z15" s="108">
        <f t="shared" si="4"/>
        <v>107802.86178509214</v>
      </c>
      <c r="AA15" s="108">
        <f t="shared" si="4"/>
        <v>115316.24647405928</v>
      </c>
      <c r="AB15" s="108">
        <f t="shared" si="4"/>
        <v>109383.39457642844</v>
      </c>
      <c r="AC15" s="108">
        <f t="shared" si="4"/>
        <v>105289.58903399258</v>
      </c>
      <c r="AD15" s="108">
        <f t="shared" si="4"/>
        <v>102058.31823927662</v>
      </c>
      <c r="AE15" s="108">
        <f t="shared" si="4"/>
        <v>99340.52791958247</v>
      </c>
      <c r="AF15" s="108">
        <f t="shared" si="4"/>
        <v>96968.902317970365</v>
      </c>
      <c r="AG15" s="108">
        <f t="shared" si="4"/>
        <v>94850.347249637445</v>
      </c>
      <c r="AH15" s="108">
        <f t="shared" ref="AH15:AL15" si="5">AH6/CO2_C</f>
        <v>92927.723086472135</v>
      </c>
      <c r="AI15" s="108">
        <f t="shared" si="5"/>
        <v>91163.247458961385</v>
      </c>
      <c r="AJ15" s="108">
        <f t="shared" si="5"/>
        <v>89530.398222376287</v>
      </c>
      <c r="AK15" s="108">
        <f t="shared" si="5"/>
        <v>88009.631856439315</v>
      </c>
      <c r="AL15" s="108">
        <f t="shared" si="5"/>
        <v>86585.972850385588</v>
      </c>
      <c r="AM15" s="5"/>
      <c r="AN15" s="4"/>
      <c r="AO15" s="5"/>
      <c r="AP15" s="5"/>
      <c r="AQ15" s="5"/>
      <c r="AR15" s="5"/>
      <c r="AS15" s="5"/>
      <c r="AT15" s="5"/>
      <c r="AU15" s="5"/>
      <c r="AV15" s="5"/>
      <c r="AW15" s="5"/>
      <c r="AX15" s="5"/>
      <c r="AY15" s="5"/>
      <c r="AZ15" s="5"/>
      <c r="BA15" s="4"/>
      <c r="BB15" s="5"/>
      <c r="BC15" s="5"/>
      <c r="BD15" s="5"/>
      <c r="BE15" s="5"/>
      <c r="BF15" s="5"/>
      <c r="BG15" s="5"/>
      <c r="BH15" s="5"/>
      <c r="BI15" s="5"/>
      <c r="BJ15" s="5"/>
      <c r="BK15" s="5"/>
      <c r="BL15" s="5"/>
      <c r="BM15" s="5"/>
    </row>
    <row r="16" spans="1:78" ht="14" hidden="1">
      <c r="B16" s="187" t="s">
        <v>99</v>
      </c>
      <c r="C16" s="108">
        <f t="shared" ref="C16:R16" si="6">C7/CO2_C</f>
        <v>6085.7474357164892</v>
      </c>
      <c r="D16" s="108">
        <f t="shared" si="6"/>
        <v>6662.2452784056777</v>
      </c>
      <c r="E16" s="108">
        <f t="shared" si="6"/>
        <v>8584.433565360463</v>
      </c>
      <c r="F16" s="108">
        <f t="shared" si="6"/>
        <v>6667.7640033027365</v>
      </c>
      <c r="G16" s="108">
        <f t="shared" si="6"/>
        <v>10345.922726744955</v>
      </c>
      <c r="H16" s="108">
        <f t="shared" si="6"/>
        <v>28762.104426625381</v>
      </c>
      <c r="I16" s="108">
        <f t="shared" si="6"/>
        <v>26360.707756814852</v>
      </c>
      <c r="J16" s="108">
        <f t="shared" si="6"/>
        <v>34084.148416306321</v>
      </c>
      <c r="K16" s="108">
        <f t="shared" si="6"/>
        <v>44036.246489082238</v>
      </c>
      <c r="L16" s="108">
        <f t="shared" si="6"/>
        <v>36668.369332246883</v>
      </c>
      <c r="M16" s="108">
        <f t="shared" si="6"/>
        <v>32423.712452071941</v>
      </c>
      <c r="N16" s="108">
        <f t="shared" si="6"/>
        <v>29596.480604234461</v>
      </c>
      <c r="O16" s="108">
        <f t="shared" si="6"/>
        <v>27544.322544975548</v>
      </c>
      <c r="P16" s="108">
        <f t="shared" si="6"/>
        <v>53518.919918559848</v>
      </c>
      <c r="Q16" s="108">
        <f t="shared" si="6"/>
        <v>46272.524384443313</v>
      </c>
      <c r="R16" s="108">
        <f t="shared" si="6"/>
        <v>42136.506057911931</v>
      </c>
      <c r="S16" s="108">
        <f t="shared" ref="S16:AG16" si="7">S7/CO2_C</f>
        <v>39260.346453881612</v>
      </c>
      <c r="T16" s="108">
        <f t="shared" si="7"/>
        <v>37064.443359000776</v>
      </c>
      <c r="U16" s="108">
        <f t="shared" si="7"/>
        <v>35294.328691407252</v>
      </c>
      <c r="V16" s="108">
        <f t="shared" si="7"/>
        <v>33815.985833927567</v>
      </c>
      <c r="W16" s="108">
        <f t="shared" si="7"/>
        <v>32550.186423648454</v>
      </c>
      <c r="X16" s="108">
        <f t="shared" si="7"/>
        <v>34290.812358070005</v>
      </c>
      <c r="Y16" s="108">
        <f t="shared" si="7"/>
        <v>32348.847860646136</v>
      </c>
      <c r="Z16" s="108">
        <f t="shared" si="7"/>
        <v>30980.943070349051</v>
      </c>
      <c r="AA16" s="108">
        <f t="shared" si="7"/>
        <v>29916.956996520283</v>
      </c>
      <c r="AB16" s="108">
        <f t="shared" si="7"/>
        <v>29035.711543091889</v>
      </c>
      <c r="AC16" s="108">
        <f t="shared" si="7"/>
        <v>28274.404006844459</v>
      </c>
      <c r="AD16" s="108">
        <f t="shared" si="7"/>
        <v>27598.014529639771</v>
      </c>
      <c r="AE16" s="108">
        <f t="shared" si="7"/>
        <v>26985.776416884226</v>
      </c>
      <c r="AF16" s="108">
        <f t="shared" si="7"/>
        <v>26424.587657807955</v>
      </c>
      <c r="AG16" s="108">
        <f t="shared" si="7"/>
        <v>25905.646979260826</v>
      </c>
      <c r="AH16" s="108">
        <f t="shared" ref="AH16:AL16" si="8">AH7/CO2_C</f>
        <v>25422.678893609209</v>
      </c>
      <c r="AI16" s="108">
        <f t="shared" si="8"/>
        <v>24970.968162470788</v>
      </c>
      <c r="AJ16" s="108">
        <f t="shared" si="8"/>
        <v>24546.816741272934</v>
      </c>
      <c r="AK16" s="108">
        <f t="shared" si="8"/>
        <v>24147.226336964875</v>
      </c>
      <c r="AL16" s="108">
        <f t="shared" si="8"/>
        <v>23769.704502269622</v>
      </c>
      <c r="AM16" s="5"/>
      <c r="AN16" s="4"/>
      <c r="AO16" s="5"/>
      <c r="AP16" s="5"/>
      <c r="AQ16" s="5"/>
      <c r="AR16" s="5"/>
      <c r="AS16" s="5"/>
      <c r="AT16" s="5"/>
      <c r="AU16" s="5"/>
      <c r="AV16" s="5"/>
      <c r="AW16" s="5"/>
      <c r="AX16" s="5"/>
      <c r="AY16" s="5"/>
      <c r="AZ16" s="5"/>
      <c r="BA16" s="4"/>
      <c r="BB16" s="5"/>
      <c r="BC16" s="5"/>
      <c r="BD16" s="5"/>
      <c r="BE16" s="5"/>
      <c r="BF16" s="5"/>
      <c r="BG16" s="5"/>
      <c r="BH16" s="5"/>
      <c r="BI16" s="5"/>
      <c r="BJ16" s="5"/>
      <c r="BK16" s="5"/>
      <c r="BL16" s="5"/>
      <c r="BM16" s="5"/>
    </row>
    <row r="17" spans="2:65" ht="14" hidden="1">
      <c r="B17" s="187" t="s">
        <v>100</v>
      </c>
      <c r="C17" s="108">
        <f t="shared" ref="C17:R17" si="9">C8/CO2_C</f>
        <v>43878.975861451247</v>
      </c>
      <c r="D17" s="108">
        <f t="shared" si="9"/>
        <v>45135.953365752874</v>
      </c>
      <c r="E17" s="108">
        <f t="shared" si="9"/>
        <v>52509.022577453434</v>
      </c>
      <c r="F17" s="108">
        <f t="shared" si="9"/>
        <v>43430.272471357166</v>
      </c>
      <c r="G17" s="108">
        <f t="shared" si="9"/>
        <v>58723.518418782711</v>
      </c>
      <c r="H17" s="108">
        <f t="shared" si="9"/>
        <v>52546.156612244151</v>
      </c>
      <c r="I17" s="108">
        <f t="shared" si="9"/>
        <v>67879.554846959902</v>
      </c>
      <c r="J17" s="108">
        <f t="shared" si="9"/>
        <v>117588.56843027683</v>
      </c>
      <c r="K17" s="108">
        <f t="shared" si="9"/>
        <v>99446.2482636356</v>
      </c>
      <c r="L17" s="108">
        <f t="shared" si="9"/>
        <v>99328.606934587675</v>
      </c>
      <c r="M17" s="108">
        <f t="shared" si="9"/>
        <v>86723.666817747056</v>
      </c>
      <c r="N17" s="108">
        <f t="shared" si="9"/>
        <v>80035.803795584812</v>
      </c>
      <c r="O17" s="108">
        <f t="shared" si="9"/>
        <v>74393.61095782397</v>
      </c>
      <c r="P17" s="108">
        <f t="shared" si="9"/>
        <v>71603.809291044192</v>
      </c>
      <c r="Q17" s="108">
        <f t="shared" si="9"/>
        <v>78494.965935558648</v>
      </c>
      <c r="R17" s="108">
        <f t="shared" si="9"/>
        <v>73371.018849925051</v>
      </c>
      <c r="S17" s="108">
        <f t="shared" ref="S17:AG17" si="10">S8/CO2_C</f>
        <v>69809.39702109358</v>
      </c>
      <c r="T17" s="108">
        <f t="shared" si="10"/>
        <v>66995.012173643961</v>
      </c>
      <c r="U17" s="108">
        <f t="shared" si="10"/>
        <v>64641.357367928897</v>
      </c>
      <c r="V17" s="108">
        <f t="shared" si="10"/>
        <v>74739.273901878361</v>
      </c>
      <c r="W17" s="108">
        <f t="shared" si="10"/>
        <v>70319.36111347191</v>
      </c>
      <c r="X17" s="108">
        <f t="shared" si="10"/>
        <v>79690.556955346343</v>
      </c>
      <c r="Y17" s="108">
        <f t="shared" si="10"/>
        <v>73191.641951285477</v>
      </c>
      <c r="Z17" s="108">
        <f t="shared" si="10"/>
        <v>69109.728409549425</v>
      </c>
      <c r="AA17" s="108">
        <f t="shared" si="10"/>
        <v>78086.031234700131</v>
      </c>
      <c r="AB17" s="108">
        <f t="shared" si="10"/>
        <v>73313.369785249626</v>
      </c>
      <c r="AC17" s="108">
        <f t="shared" si="10"/>
        <v>70192.857061266011</v>
      </c>
      <c r="AD17" s="108">
        <f t="shared" si="10"/>
        <v>67810.316894026211</v>
      </c>
      <c r="AE17" s="108">
        <f t="shared" si="10"/>
        <v>65852.051850055985</v>
      </c>
      <c r="AF17" s="108">
        <f t="shared" si="10"/>
        <v>64171.92507409773</v>
      </c>
      <c r="AG17" s="108">
        <f t="shared" si="10"/>
        <v>62690.303915420649</v>
      </c>
      <c r="AH17" s="108">
        <f t="shared" ref="AH17:AL17" si="11">AH8/CO2_C</f>
        <v>61359.148669224029</v>
      </c>
      <c r="AI17" s="108">
        <f t="shared" si="11"/>
        <v>60147.202592927388</v>
      </c>
      <c r="AJ17" s="108">
        <f t="shared" si="11"/>
        <v>59032.872700746346</v>
      </c>
      <c r="AK17" s="108">
        <f t="shared" si="11"/>
        <v>58000.50023650621</v>
      </c>
      <c r="AL17" s="108">
        <f t="shared" si="11"/>
        <v>57038.273669726004</v>
      </c>
      <c r="AM17" s="5"/>
      <c r="AN17" s="4"/>
      <c r="AO17" s="5"/>
      <c r="AP17" s="5"/>
      <c r="AQ17" s="5"/>
      <c r="AR17" s="5"/>
      <c r="AS17" s="5"/>
      <c r="AT17" s="5"/>
      <c r="AU17" s="5"/>
      <c r="AV17" s="5"/>
      <c r="AW17" s="5"/>
      <c r="AX17" s="5"/>
      <c r="AY17" s="5"/>
      <c r="AZ17" s="5"/>
      <c r="BA17" s="4"/>
      <c r="BB17" s="5"/>
      <c r="BC17" s="5"/>
      <c r="BD17" s="5"/>
      <c r="BE17" s="5"/>
      <c r="BF17" s="5"/>
      <c r="BG17" s="5"/>
      <c r="BH17" s="5"/>
      <c r="BI17" s="5"/>
      <c r="BJ17" s="5"/>
      <c r="BK17" s="5"/>
      <c r="BL17" s="5"/>
      <c r="BM17" s="5"/>
    </row>
    <row r="18" spans="2:65" ht="14" hidden="1">
      <c r="B18" s="187" t="s">
        <v>101</v>
      </c>
      <c r="C18" s="108">
        <f t="shared" ref="C18:R18" si="12">C9/CO2_C</f>
        <v>6134.5350907028596</v>
      </c>
      <c r="D18" s="108">
        <f t="shared" si="12"/>
        <v>6687.140535551729</v>
      </c>
      <c r="E18" s="108">
        <f t="shared" si="12"/>
        <v>8597.1370623525036</v>
      </c>
      <c r="F18" s="108">
        <f t="shared" si="12"/>
        <v>6674.2463157721359</v>
      </c>
      <c r="G18" s="108">
        <f t="shared" si="12"/>
        <v>10349.230506876464</v>
      </c>
      <c r="H18" s="108">
        <f t="shared" si="12"/>
        <v>8095.393626886711</v>
      </c>
      <c r="I18" s="108">
        <f t="shared" si="12"/>
        <v>10169.63813280143</v>
      </c>
      <c r="J18" s="108">
        <f t="shared" si="12"/>
        <v>20194.967783754539</v>
      </c>
      <c r="K18" s="108">
        <f t="shared" si="12"/>
        <v>15085.078328538162</v>
      </c>
      <c r="L18" s="108">
        <f t="shared" si="12"/>
        <v>12348.74882175632</v>
      </c>
      <c r="M18" s="108">
        <f t="shared" si="12"/>
        <v>10745.93183111683</v>
      </c>
      <c r="N18" s="108">
        <f t="shared" si="12"/>
        <v>9733.8481026111604</v>
      </c>
      <c r="O18" s="108">
        <f t="shared" si="12"/>
        <v>9045.3154848221438</v>
      </c>
      <c r="P18" s="108">
        <f t="shared" si="12"/>
        <v>8542.4480431419161</v>
      </c>
      <c r="Q18" s="108">
        <f t="shared" si="12"/>
        <v>8151.7527386456304</v>
      </c>
      <c r="R18" s="108">
        <f t="shared" si="12"/>
        <v>7832.8148788340704</v>
      </c>
      <c r="S18" s="108">
        <f t="shared" ref="S18:AG18" si="13">S9/CO2_C</f>
        <v>7562.6082531339989</v>
      </c>
      <c r="T18" s="108">
        <f t="shared" si="13"/>
        <v>7327.4558299765804</v>
      </c>
      <c r="U18" s="108">
        <f t="shared" si="13"/>
        <v>7118.837677101983</v>
      </c>
      <c r="V18" s="108">
        <f t="shared" si="13"/>
        <v>6931.1670932985426</v>
      </c>
      <c r="W18" s="108">
        <f t="shared" si="13"/>
        <v>6760.5877703903152</v>
      </c>
      <c r="X18" s="108">
        <f t="shared" si="13"/>
        <v>9448.9490026951007</v>
      </c>
      <c r="Y18" s="108">
        <f t="shared" si="13"/>
        <v>8339.632995270098</v>
      </c>
      <c r="Z18" s="108">
        <f t="shared" si="13"/>
        <v>7712.1903051936506</v>
      </c>
      <c r="AA18" s="108">
        <f t="shared" si="13"/>
        <v>7313.258242838875</v>
      </c>
      <c r="AB18" s="108">
        <f t="shared" si="13"/>
        <v>7034.313248086919</v>
      </c>
      <c r="AC18" s="108">
        <f t="shared" si="13"/>
        <v>6822.3279658821157</v>
      </c>
      <c r="AD18" s="108">
        <f t="shared" si="13"/>
        <v>6649.9868156106259</v>
      </c>
      <c r="AE18" s="108">
        <f t="shared" si="13"/>
        <v>6502.6996526422699</v>
      </c>
      <c r="AF18" s="108">
        <f t="shared" si="13"/>
        <v>6372.389586064679</v>
      </c>
      <c r="AG18" s="108">
        <f t="shared" si="13"/>
        <v>6254.3963549559667</v>
      </c>
      <c r="AH18" s="108">
        <f t="shared" ref="AH18:AL18" si="14">AH9/CO2_C</f>
        <v>6145.8955236388938</v>
      </c>
      <c r="AI18" s="108">
        <f t="shared" si="14"/>
        <v>6045.0767035631943</v>
      </c>
      <c r="AJ18" s="108">
        <f t="shared" si="14"/>
        <v>5950.7087803570066</v>
      </c>
      <c r="AK18" s="108">
        <f t="shared" si="14"/>
        <v>5861.9052829682478</v>
      </c>
      <c r="AL18" s="108">
        <f t="shared" si="14"/>
        <v>5777.9946783899632</v>
      </c>
      <c r="AM18" s="5"/>
      <c r="AN18" s="4"/>
      <c r="AO18" s="5"/>
      <c r="AP18" s="5"/>
      <c r="AQ18" s="5"/>
      <c r="AR18" s="5"/>
      <c r="AS18" s="5"/>
      <c r="AT18" s="5"/>
      <c r="AU18" s="5"/>
      <c r="AV18" s="5"/>
      <c r="AW18" s="5"/>
      <c r="AX18" s="5"/>
      <c r="AY18" s="5"/>
      <c r="AZ18" s="5"/>
      <c r="BA18" s="4"/>
      <c r="BB18" s="5"/>
      <c r="BC18" s="5"/>
      <c r="BD18" s="5"/>
      <c r="BE18" s="5"/>
      <c r="BF18" s="5"/>
      <c r="BG18" s="5"/>
      <c r="BH18" s="5"/>
      <c r="BI18" s="5"/>
      <c r="BJ18" s="5"/>
      <c r="BK18" s="5"/>
      <c r="BL18" s="5"/>
      <c r="BM18" s="5"/>
    </row>
    <row r="19" spans="2:65" ht="14" hidden="1">
      <c r="B19" s="11"/>
      <c r="C19" s="108"/>
      <c r="D19" s="108"/>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5"/>
      <c r="AN19" s="4"/>
      <c r="AO19" s="5"/>
      <c r="AP19" s="5"/>
      <c r="AQ19" s="5"/>
      <c r="AR19" s="5"/>
      <c r="AS19" s="5"/>
      <c r="AT19" s="5"/>
      <c r="AU19" s="5"/>
      <c r="AV19" s="5"/>
      <c r="AW19" s="5"/>
      <c r="AX19" s="5"/>
      <c r="AY19" s="5"/>
      <c r="AZ19" s="5"/>
      <c r="BA19" s="4"/>
      <c r="BB19" s="12"/>
      <c r="BC19" s="5"/>
      <c r="BD19" s="5"/>
      <c r="BE19" s="5"/>
      <c r="BF19" s="5"/>
      <c r="BG19" s="5"/>
      <c r="BH19" s="5"/>
      <c r="BI19" s="5"/>
      <c r="BJ19" s="5"/>
      <c r="BK19" s="5"/>
      <c r="BL19" s="5"/>
      <c r="BM19" s="5"/>
    </row>
    <row r="20" spans="2:65" ht="15.5" hidden="1">
      <c r="B20" s="13"/>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5"/>
      <c r="AN20" s="4"/>
      <c r="AO20" s="5"/>
      <c r="AP20" s="5"/>
      <c r="AQ20" s="5"/>
      <c r="AR20" s="5"/>
      <c r="AS20" s="5"/>
      <c r="AT20" s="5"/>
      <c r="AU20" s="5"/>
      <c r="AV20" s="5"/>
      <c r="AW20" s="5"/>
      <c r="AX20" s="5"/>
      <c r="AY20" s="5"/>
      <c r="AZ20" s="5"/>
      <c r="BA20" s="4"/>
      <c r="BB20" s="12"/>
      <c r="BC20" s="5"/>
      <c r="BD20" s="5"/>
      <c r="BE20" s="5"/>
      <c r="BF20" s="5"/>
      <c r="BG20" s="5"/>
      <c r="BH20" s="5"/>
      <c r="BI20" s="5"/>
      <c r="BJ20" s="5"/>
      <c r="BK20" s="5"/>
      <c r="BL20" s="5"/>
      <c r="BM20" s="5"/>
    </row>
    <row r="21" spans="2:65" ht="14.5" thickBot="1">
      <c r="B21" s="8" t="s">
        <v>104</v>
      </c>
      <c r="C21" s="251"/>
      <c r="D21" s="251"/>
      <c r="E21" s="251"/>
      <c r="F21" s="251"/>
      <c r="G21" s="251"/>
      <c r="H21" s="251"/>
      <c r="I21" s="251"/>
      <c r="J21" s="251"/>
      <c r="K21" s="251"/>
      <c r="L21" s="251"/>
      <c r="M21" s="251"/>
      <c r="N21" s="251"/>
      <c r="O21" s="251"/>
      <c r="P21" s="251"/>
      <c r="Q21" s="251"/>
      <c r="R21" s="251"/>
      <c r="S21" s="251"/>
      <c r="T21" s="251"/>
      <c r="U21" s="251"/>
      <c r="V21" s="251"/>
      <c r="W21" s="251"/>
      <c r="X21" s="251"/>
      <c r="Y21" s="251"/>
      <c r="Z21" s="251"/>
      <c r="AA21" s="251"/>
      <c r="AB21" s="251"/>
      <c r="AC21" s="251"/>
      <c r="AD21" s="251"/>
      <c r="AE21" s="251"/>
      <c r="AF21" s="251"/>
      <c r="AG21" s="251"/>
      <c r="AH21" s="251"/>
      <c r="AI21" s="251"/>
      <c r="AJ21" s="251"/>
      <c r="AK21" s="251"/>
      <c r="AL21" s="251"/>
      <c r="AM21" s="5"/>
      <c r="AN21" s="4"/>
      <c r="AO21" s="5"/>
      <c r="AP21" s="5"/>
      <c r="AQ21" s="5"/>
      <c r="AR21" s="5"/>
      <c r="AS21" s="5"/>
      <c r="AT21" s="5"/>
      <c r="AU21" s="5"/>
      <c r="AV21" s="5"/>
      <c r="AW21" s="5"/>
      <c r="AX21" s="5"/>
      <c r="AY21" s="5"/>
      <c r="AZ21" s="5"/>
      <c r="BA21" s="4"/>
      <c r="BB21" s="14"/>
      <c r="BC21" s="5"/>
      <c r="BD21" s="5"/>
      <c r="BE21" s="5"/>
      <c r="BF21" s="5"/>
      <c r="BG21" s="5"/>
      <c r="BH21" s="5"/>
      <c r="BI21" s="5"/>
      <c r="BJ21" s="5"/>
      <c r="BK21" s="5"/>
      <c r="BL21" s="5"/>
      <c r="BM21" s="5"/>
    </row>
    <row r="22" spans="2:65" ht="14.5" thickBot="1">
      <c r="B22" s="9"/>
      <c r="C22" s="8">
        <v>1990</v>
      </c>
      <c r="D22" s="10" t="s">
        <v>96</v>
      </c>
      <c r="E22" s="10" t="s">
        <v>97</v>
      </c>
      <c r="F22" s="8">
        <v>1993</v>
      </c>
      <c r="G22" s="8">
        <v>1994</v>
      </c>
      <c r="H22" s="8">
        <v>1995</v>
      </c>
      <c r="I22" s="8">
        <v>1996</v>
      </c>
      <c r="J22" s="8">
        <v>1997</v>
      </c>
      <c r="K22" s="8">
        <v>1998</v>
      </c>
      <c r="L22" s="8">
        <v>1999</v>
      </c>
      <c r="M22" s="8">
        <v>2000</v>
      </c>
      <c r="N22" s="8">
        <v>2001</v>
      </c>
      <c r="O22" s="8">
        <v>2002</v>
      </c>
      <c r="P22" s="8">
        <v>2003</v>
      </c>
      <c r="Q22" s="8">
        <v>2004</v>
      </c>
      <c r="R22" s="8">
        <v>2005</v>
      </c>
      <c r="S22" s="8">
        <v>2006</v>
      </c>
      <c r="T22" s="8">
        <v>2007</v>
      </c>
      <c r="U22" s="8">
        <v>2008</v>
      </c>
      <c r="V22" s="8">
        <v>2009</v>
      </c>
      <c r="W22" s="8">
        <v>2010</v>
      </c>
      <c r="X22" s="8">
        <v>2011</v>
      </c>
      <c r="Y22" s="8">
        <v>2012</v>
      </c>
      <c r="Z22" s="8">
        <v>2013</v>
      </c>
      <c r="AA22" s="8">
        <v>2014</v>
      </c>
      <c r="AB22" s="8">
        <v>2015</v>
      </c>
      <c r="AC22" s="8">
        <v>2016</v>
      </c>
      <c r="AD22" s="8">
        <v>2017</v>
      </c>
      <c r="AE22" s="8">
        <v>2018</v>
      </c>
      <c r="AF22" s="8">
        <v>2019</v>
      </c>
      <c r="AG22" s="8">
        <v>2020</v>
      </c>
      <c r="AH22" s="8">
        <v>2021</v>
      </c>
      <c r="AI22" s="8">
        <v>2022</v>
      </c>
      <c r="AJ22" s="8">
        <v>2023</v>
      </c>
      <c r="AK22" s="8">
        <v>2024</v>
      </c>
      <c r="AL22" s="8">
        <v>2025</v>
      </c>
      <c r="AM22" s="15"/>
      <c r="AN22" s="15"/>
    </row>
    <row r="23" spans="2:65" ht="14">
      <c r="B23" s="11" t="s">
        <v>8</v>
      </c>
      <c r="C23" s="108">
        <f t="shared" ref="C23:R23" si="15">C5/CH4GWP</f>
        <v>192995.56326775</v>
      </c>
      <c r="D23" s="108">
        <f t="shared" si="15"/>
        <v>197041.78855006697</v>
      </c>
      <c r="E23" s="108">
        <f t="shared" si="15"/>
        <v>207597.31409809686</v>
      </c>
      <c r="F23" s="108">
        <f t="shared" si="15"/>
        <v>161792.45690149997</v>
      </c>
      <c r="G23" s="108">
        <f t="shared" si="15"/>
        <v>197316.30039474997</v>
      </c>
      <c r="H23" s="108">
        <f t="shared" si="15"/>
        <v>204045.91013499998</v>
      </c>
      <c r="I23" s="108">
        <f t="shared" si="15"/>
        <v>191725.32691624999</v>
      </c>
      <c r="J23" s="108">
        <f t="shared" si="15"/>
        <v>162613.35895199998</v>
      </c>
      <c r="K23" s="108">
        <f t="shared" si="15"/>
        <v>147067.34651274999</v>
      </c>
      <c r="L23" s="108">
        <f t="shared" si="15"/>
        <v>146624.50395974997</v>
      </c>
      <c r="M23" s="108">
        <f t="shared" si="15"/>
        <v>160332.22922700006</v>
      </c>
      <c r="N23" s="108">
        <f t="shared" si="15"/>
        <v>135755.65044398353</v>
      </c>
      <c r="O23" s="108">
        <f t="shared" si="15"/>
        <v>111046.77962752049</v>
      </c>
      <c r="P23" s="108">
        <f t="shared" si="15"/>
        <v>88078.042708676992</v>
      </c>
      <c r="Q23" s="108">
        <f t="shared" si="15"/>
        <v>108183.57767930548</v>
      </c>
      <c r="R23" s="108">
        <f t="shared" si="15"/>
        <v>122833.59618500526</v>
      </c>
      <c r="S23" s="108">
        <f t="shared" ref="S23:AG23" si="16">S5/CH4GWP</f>
        <v>129801.00968845002</v>
      </c>
      <c r="T23" s="108">
        <f t="shared" si="16"/>
        <v>84841.830792358742</v>
      </c>
      <c r="U23" s="108">
        <f t="shared" si="16"/>
        <v>146458.15417927699</v>
      </c>
      <c r="V23" s="108">
        <f t="shared" si="16"/>
        <v>138290.82806720899</v>
      </c>
      <c r="W23" s="108">
        <f t="shared" si="16"/>
        <v>164853.819908456</v>
      </c>
      <c r="X23" s="108">
        <f t="shared" si="16"/>
        <v>144950.92134063976</v>
      </c>
      <c r="Y23" s="108">
        <f t="shared" si="16"/>
        <v>186721.42733181402</v>
      </c>
      <c r="Z23" s="108">
        <f t="shared" si="16"/>
        <v>172148.40631208275</v>
      </c>
      <c r="AA23" s="108">
        <f t="shared" si="16"/>
        <v>177895.380107645</v>
      </c>
      <c r="AB23" s="108">
        <f t="shared" si="16"/>
        <v>203557.24247475853</v>
      </c>
      <c r="AC23" s="108">
        <f t="shared" si="16"/>
        <v>212948.2736866904</v>
      </c>
      <c r="AD23" s="108">
        <f t="shared" si="16"/>
        <v>164298.16068372104</v>
      </c>
      <c r="AE23" s="108">
        <f t="shared" si="16"/>
        <v>126032.07539934645</v>
      </c>
      <c r="AF23" s="108">
        <f t="shared" si="16"/>
        <v>109265.92231686557</v>
      </c>
      <c r="AG23" s="108">
        <f t="shared" si="16"/>
        <v>79124.50287555602</v>
      </c>
      <c r="AH23" s="108">
        <f t="shared" ref="AH23:AL23" si="17">AH5/CH4GWP</f>
        <v>0</v>
      </c>
      <c r="AI23" s="108">
        <f t="shared" si="17"/>
        <v>0</v>
      </c>
      <c r="AJ23" s="108">
        <f t="shared" si="17"/>
        <v>0</v>
      </c>
      <c r="AK23" s="108">
        <f t="shared" si="17"/>
        <v>0</v>
      </c>
      <c r="AL23" s="108">
        <f t="shared" si="17"/>
        <v>0</v>
      </c>
      <c r="AM23" s="16"/>
      <c r="AN23" s="15"/>
    </row>
    <row r="24" spans="2:65" ht="14">
      <c r="B24" s="11" t="s">
        <v>98</v>
      </c>
      <c r="C24" s="108">
        <f t="shared" ref="C24:R24" si="18">C6/CH4GWP</f>
        <v>7346.331455554483</v>
      </c>
      <c r="D24" s="108">
        <f t="shared" si="18"/>
        <v>7658.7944163906313</v>
      </c>
      <c r="E24" s="108">
        <f t="shared" si="18"/>
        <v>9126.149110200362</v>
      </c>
      <c r="F24" s="108">
        <f t="shared" si="18"/>
        <v>7434.4656035089574</v>
      </c>
      <c r="G24" s="108">
        <f t="shared" si="18"/>
        <v>10400.064144957681</v>
      </c>
      <c r="H24" s="108">
        <f t="shared" si="18"/>
        <v>11707.621444325223</v>
      </c>
      <c r="I24" s="108">
        <f t="shared" si="18"/>
        <v>13672.725096456405</v>
      </c>
      <c r="J24" s="108">
        <f t="shared" si="18"/>
        <v>22506.48251111565</v>
      </c>
      <c r="K24" s="108">
        <f t="shared" si="18"/>
        <v>20764.801236831143</v>
      </c>
      <c r="L24" s="108">
        <f t="shared" si="18"/>
        <v>19426.225904458326</v>
      </c>
      <c r="M24" s="108">
        <f t="shared" si="18"/>
        <v>17009.83835845588</v>
      </c>
      <c r="N24" s="108">
        <f t="shared" si="18"/>
        <v>15631.279256270651</v>
      </c>
      <c r="O24" s="108">
        <f t="shared" si="18"/>
        <v>14533.52070075998</v>
      </c>
      <c r="P24" s="108">
        <f t="shared" si="18"/>
        <v>17503.773211669111</v>
      </c>
      <c r="Q24" s="108">
        <f t="shared" si="18"/>
        <v>17406.091352918134</v>
      </c>
      <c r="R24" s="108">
        <f t="shared" si="18"/>
        <v>16151.711162540256</v>
      </c>
      <c r="S24" s="108">
        <f t="shared" ref="S24:AG24" si="19">S6/CH4GWP</f>
        <v>15273.28415487144</v>
      </c>
      <c r="T24" s="108">
        <f t="shared" si="19"/>
        <v>14586.381249867076</v>
      </c>
      <c r="U24" s="108">
        <f t="shared" si="19"/>
        <v>14019.044775009754</v>
      </c>
      <c r="V24" s="108">
        <f t="shared" si="19"/>
        <v>15123.222560954158</v>
      </c>
      <c r="W24" s="108">
        <f t="shared" si="19"/>
        <v>14356.327242650208</v>
      </c>
      <c r="X24" s="108">
        <f t="shared" si="19"/>
        <v>16163.49406520507</v>
      </c>
      <c r="Y24" s="108">
        <f t="shared" si="19"/>
        <v>14912.873224752604</v>
      </c>
      <c r="Z24" s="108">
        <f t="shared" si="19"/>
        <v>14117.041424238256</v>
      </c>
      <c r="AA24" s="108">
        <f t="shared" si="19"/>
        <v>15100.937038269667</v>
      </c>
      <c r="AB24" s="108">
        <f t="shared" si="19"/>
        <v>14324.015956437057</v>
      </c>
      <c r="AC24" s="108">
        <f t="shared" si="19"/>
        <v>13787.922373499028</v>
      </c>
      <c r="AD24" s="108">
        <f t="shared" si="19"/>
        <v>13364.77976942908</v>
      </c>
      <c r="AE24" s="108">
        <f t="shared" si="19"/>
        <v>13008.878656135799</v>
      </c>
      <c r="AF24" s="108">
        <f t="shared" si="19"/>
        <v>12698.308636877071</v>
      </c>
      <c r="AG24" s="108">
        <f t="shared" si="19"/>
        <v>12420.878806500141</v>
      </c>
      <c r="AH24" s="108">
        <f t="shared" ref="AH24:AL24" si="20">AH6/CH4GWP</f>
        <v>12169.106594657063</v>
      </c>
      <c r="AI24" s="108">
        <f t="shared" si="20"/>
        <v>11938.044310102085</v>
      </c>
      <c r="AJ24" s="108">
        <f t="shared" si="20"/>
        <v>11724.218814834991</v>
      </c>
      <c r="AK24" s="108">
        <f t="shared" si="20"/>
        <v>11525.070838343245</v>
      </c>
      <c r="AL24" s="108">
        <f t="shared" si="20"/>
        <v>11338.639301836209</v>
      </c>
      <c r="AM24" s="16"/>
      <c r="AN24" s="15"/>
    </row>
    <row r="25" spans="2:65" ht="14">
      <c r="B25" s="187" t="s">
        <v>99</v>
      </c>
      <c r="C25" s="108">
        <f t="shared" ref="C25:R25" si="21">C7/CH4GWP</f>
        <v>796.94311658192123</v>
      </c>
      <c r="D25" s="108">
        <f t="shared" si="21"/>
        <v>872.43688169598158</v>
      </c>
      <c r="E25" s="108">
        <f t="shared" si="21"/>
        <v>1124.1520145114891</v>
      </c>
      <c r="F25" s="108">
        <f t="shared" si="21"/>
        <v>873.15957186107255</v>
      </c>
      <c r="G25" s="108">
        <f t="shared" si="21"/>
        <v>1354.8232142166012</v>
      </c>
      <c r="H25" s="108">
        <f t="shared" si="21"/>
        <v>3766.4660558676092</v>
      </c>
      <c r="I25" s="108">
        <f t="shared" si="21"/>
        <v>3451.9974443448018</v>
      </c>
      <c r="J25" s="108">
        <f t="shared" si="21"/>
        <v>4463.4003878496369</v>
      </c>
      <c r="K25" s="108">
        <f t="shared" si="21"/>
        <v>5766.6513259512449</v>
      </c>
      <c r="L25" s="108">
        <f t="shared" si="21"/>
        <v>4801.8102696989963</v>
      </c>
      <c r="M25" s="108">
        <f t="shared" si="21"/>
        <v>4245.9623449141827</v>
      </c>
      <c r="N25" s="108">
        <f t="shared" si="21"/>
        <v>3875.7296029354652</v>
      </c>
      <c r="O25" s="108">
        <f t="shared" si="21"/>
        <v>3606.9946189848929</v>
      </c>
      <c r="P25" s="108">
        <f t="shared" si="21"/>
        <v>7008.4299893352172</v>
      </c>
      <c r="Q25" s="108">
        <f t="shared" si="21"/>
        <v>6059.4972408199583</v>
      </c>
      <c r="R25" s="108">
        <f t="shared" si="21"/>
        <v>5517.8757932979906</v>
      </c>
      <c r="S25" s="108">
        <f t="shared" ref="S25:AG25" si="22">S7/CH4GWP</f>
        <v>5141.2358451511627</v>
      </c>
      <c r="T25" s="108">
        <f t="shared" si="22"/>
        <v>4853.6771065358162</v>
      </c>
      <c r="U25" s="108">
        <f t="shared" si="22"/>
        <v>4621.876376255711</v>
      </c>
      <c r="V25" s="108">
        <f t="shared" si="22"/>
        <v>4428.2838592048001</v>
      </c>
      <c r="W25" s="108">
        <f t="shared" si="22"/>
        <v>4262.5244126206308</v>
      </c>
      <c r="X25" s="108">
        <f t="shared" si="22"/>
        <v>4490.4635230805952</v>
      </c>
      <c r="Y25" s="108">
        <f t="shared" si="22"/>
        <v>4236.1586484179461</v>
      </c>
      <c r="Z25" s="108">
        <f t="shared" si="22"/>
        <v>4057.0282592123758</v>
      </c>
      <c r="AA25" s="108">
        <f t="shared" si="22"/>
        <v>3917.6967495443228</v>
      </c>
      <c r="AB25" s="108">
        <f t="shared" si="22"/>
        <v>3802.295559214414</v>
      </c>
      <c r="AC25" s="108">
        <f t="shared" si="22"/>
        <v>3702.6005247058215</v>
      </c>
      <c r="AD25" s="108">
        <f t="shared" si="22"/>
        <v>3614.0257122147318</v>
      </c>
      <c r="AE25" s="108">
        <f t="shared" si="22"/>
        <v>3533.8516736396009</v>
      </c>
      <c r="AF25" s="108">
        <f t="shared" si="22"/>
        <v>3460.3626694748514</v>
      </c>
      <c r="AG25" s="108">
        <f t="shared" si="22"/>
        <v>3392.4061520460605</v>
      </c>
      <c r="AH25" s="108">
        <f t="shared" ref="AH25:AL25" si="23">AH7/CH4GWP</f>
        <v>3329.1603313059677</v>
      </c>
      <c r="AI25" s="108">
        <f t="shared" si="23"/>
        <v>3270.0077355616509</v>
      </c>
      <c r="AJ25" s="108">
        <f t="shared" si="23"/>
        <v>3214.4640970714559</v>
      </c>
      <c r="AK25" s="108">
        <f t="shared" si="23"/>
        <v>3162.1367822215907</v>
      </c>
      <c r="AL25" s="108">
        <f t="shared" si="23"/>
        <v>3112.6993991067361</v>
      </c>
      <c r="AM25" s="16"/>
      <c r="AN25" s="15"/>
    </row>
    <row r="26" spans="2:65" ht="14">
      <c r="B26" s="187" t="s">
        <v>100</v>
      </c>
      <c r="C26" s="108">
        <f t="shared" ref="C26:R26" si="24">C8/CH4GWP</f>
        <v>5746.0563628090913</v>
      </c>
      <c r="D26" s="108">
        <f t="shared" si="24"/>
        <v>5910.660559800971</v>
      </c>
      <c r="E26" s="108">
        <f t="shared" si="24"/>
        <v>6876.1815279998546</v>
      </c>
      <c r="F26" s="108">
        <f t="shared" si="24"/>
        <v>5687.2975855348659</v>
      </c>
      <c r="G26" s="108">
        <f t="shared" si="24"/>
        <v>7689.9845548405929</v>
      </c>
      <c r="H26" s="108">
        <f t="shared" si="24"/>
        <v>6881.0443182700674</v>
      </c>
      <c r="I26" s="108">
        <f t="shared" si="24"/>
        <v>8888.9893251971298</v>
      </c>
      <c r="J26" s="108">
        <f t="shared" si="24"/>
        <v>15398.503008726728</v>
      </c>
      <c r="K26" s="108">
        <f t="shared" si="24"/>
        <v>13022.722986904661</v>
      </c>
      <c r="L26" s="108">
        <f t="shared" si="24"/>
        <v>13007.317574767434</v>
      </c>
      <c r="M26" s="108">
        <f t="shared" si="24"/>
        <v>11356.670654704971</v>
      </c>
      <c r="N26" s="108">
        <f t="shared" si="24"/>
        <v>10480.87906846944</v>
      </c>
      <c r="O26" s="108">
        <f t="shared" si="24"/>
        <v>9742.0204825721867</v>
      </c>
      <c r="P26" s="108">
        <f t="shared" si="24"/>
        <v>9376.6893119224533</v>
      </c>
      <c r="Q26" s="108">
        <f t="shared" si="24"/>
        <v>10279.102682037441</v>
      </c>
      <c r="R26" s="108">
        <f t="shared" si="24"/>
        <v>9608.1096112997075</v>
      </c>
      <c r="S26" s="108">
        <f t="shared" ref="S26:AG26" si="25">S8/CH4GWP</f>
        <v>9141.7067527622548</v>
      </c>
      <c r="T26" s="108">
        <f t="shared" si="25"/>
        <v>8773.1563560724226</v>
      </c>
      <c r="U26" s="108">
        <f t="shared" si="25"/>
        <v>8464.9396553240222</v>
      </c>
      <c r="V26" s="108">
        <f t="shared" si="25"/>
        <v>9787.2858681031194</v>
      </c>
      <c r="W26" s="108">
        <f t="shared" si="25"/>
        <v>9208.4877648594156</v>
      </c>
      <c r="X26" s="108">
        <f t="shared" si="25"/>
        <v>10435.668172723925</v>
      </c>
      <c r="Y26" s="108">
        <f t="shared" si="25"/>
        <v>9584.619779335002</v>
      </c>
      <c r="Z26" s="108">
        <f t="shared" si="25"/>
        <v>9050.083482202901</v>
      </c>
      <c r="AA26" s="108">
        <f t="shared" si="25"/>
        <v>10225.55170930597</v>
      </c>
      <c r="AB26" s="108">
        <f t="shared" si="25"/>
        <v>9600.5603290207837</v>
      </c>
      <c r="AC26" s="108">
        <f t="shared" si="25"/>
        <v>9191.9217580229306</v>
      </c>
      <c r="AD26" s="108">
        <f t="shared" si="25"/>
        <v>8879.922450408194</v>
      </c>
      <c r="AE26" s="108">
        <f t="shared" si="25"/>
        <v>8623.4829803644734</v>
      </c>
      <c r="AF26" s="108">
        <f t="shared" si="25"/>
        <v>8403.4663787508925</v>
      </c>
      <c r="AG26" s="108">
        <f t="shared" si="25"/>
        <v>8209.4445603527038</v>
      </c>
      <c r="AH26" s="108">
        <f t="shared" ref="AH26:AL26" si="26">AH8/CH4GWP</f>
        <v>8035.1266114460032</v>
      </c>
      <c r="AI26" s="108">
        <f t="shared" si="26"/>
        <v>7876.4193871690632</v>
      </c>
      <c r="AJ26" s="108">
        <f t="shared" si="26"/>
        <v>7730.495234621545</v>
      </c>
      <c r="AK26" s="108">
        <f t="shared" si="26"/>
        <v>7595.3036023996228</v>
      </c>
      <c r="AL26" s="108">
        <f t="shared" si="26"/>
        <v>7469.2977424641194</v>
      </c>
      <c r="AM26" s="16"/>
      <c r="AN26" s="15"/>
    </row>
    <row r="27" spans="2:65" ht="14">
      <c r="B27" s="187" t="s">
        <v>101</v>
      </c>
      <c r="C27" s="108">
        <f t="shared" ref="C27:R27" si="27">C9/CH4GWP</f>
        <v>803.33197616346968</v>
      </c>
      <c r="D27" s="108">
        <f t="shared" si="27"/>
        <v>875.69697489367877</v>
      </c>
      <c r="E27" s="108">
        <f t="shared" si="27"/>
        <v>1125.8155676890183</v>
      </c>
      <c r="F27" s="108">
        <f t="shared" si="27"/>
        <v>874.00844611301784</v>
      </c>
      <c r="G27" s="108">
        <f t="shared" si="27"/>
        <v>1355.2563759004893</v>
      </c>
      <c r="H27" s="108">
        <f t="shared" si="27"/>
        <v>1060.1110701875455</v>
      </c>
      <c r="I27" s="108">
        <f t="shared" si="27"/>
        <v>1331.7383269144732</v>
      </c>
      <c r="J27" s="108">
        <f t="shared" si="27"/>
        <v>2644.5791145392845</v>
      </c>
      <c r="K27" s="108">
        <f t="shared" si="27"/>
        <v>1975.4269239752355</v>
      </c>
      <c r="L27" s="108">
        <f t="shared" si="27"/>
        <v>1617.0980599918989</v>
      </c>
      <c r="M27" s="108">
        <f t="shared" si="27"/>
        <v>1407.2053588367276</v>
      </c>
      <c r="N27" s="108">
        <f t="shared" si="27"/>
        <v>1274.6705848657473</v>
      </c>
      <c r="O27" s="108">
        <f t="shared" si="27"/>
        <v>1184.5055992028997</v>
      </c>
      <c r="P27" s="108">
        <f t="shared" si="27"/>
        <v>1118.6539104114413</v>
      </c>
      <c r="Q27" s="108">
        <f t="shared" si="27"/>
        <v>1067.4914300607372</v>
      </c>
      <c r="R27" s="108">
        <f t="shared" si="27"/>
        <v>1025.7257579425568</v>
      </c>
      <c r="S27" s="108">
        <f t="shared" ref="S27:AG27" si="28">S9/CH4GWP</f>
        <v>990.3415569580236</v>
      </c>
      <c r="T27" s="108">
        <f t="shared" si="28"/>
        <v>959.54778725883784</v>
      </c>
      <c r="U27" s="108">
        <f t="shared" si="28"/>
        <v>932.2287434300215</v>
      </c>
      <c r="V27" s="108">
        <f t="shared" si="28"/>
        <v>907.6528336462377</v>
      </c>
      <c r="W27" s="108">
        <f t="shared" si="28"/>
        <v>885.31506517016021</v>
      </c>
      <c r="X27" s="108">
        <f t="shared" si="28"/>
        <v>1237.3623694005489</v>
      </c>
      <c r="Y27" s="108">
        <f t="shared" si="28"/>
        <v>1092.0947969996557</v>
      </c>
      <c r="Z27" s="108">
        <f t="shared" si="28"/>
        <v>1009.9296828229781</v>
      </c>
      <c r="AA27" s="108">
        <f t="shared" si="28"/>
        <v>957.68857941937654</v>
      </c>
      <c r="AB27" s="108">
        <f t="shared" si="28"/>
        <v>921.16006820185851</v>
      </c>
      <c r="AC27" s="108">
        <f t="shared" si="28"/>
        <v>893.40009077027696</v>
      </c>
      <c r="AD27" s="108">
        <f t="shared" si="28"/>
        <v>870.83160680615333</v>
      </c>
      <c r="AE27" s="108">
        <f t="shared" si="28"/>
        <v>851.54400213172573</v>
      </c>
      <c r="AF27" s="108">
        <f t="shared" si="28"/>
        <v>834.47958865132694</v>
      </c>
      <c r="AG27" s="108">
        <f t="shared" si="28"/>
        <v>819.0280941013765</v>
      </c>
      <c r="AH27" s="108">
        <f t="shared" ref="AH27:AL27" si="29">AH9/CH4GWP</f>
        <v>804.81965190509322</v>
      </c>
      <c r="AI27" s="108">
        <f t="shared" si="29"/>
        <v>791.61718737137073</v>
      </c>
      <c r="AJ27" s="108">
        <f t="shared" si="29"/>
        <v>779.25948314198899</v>
      </c>
      <c r="AK27" s="108">
        <f t="shared" si="29"/>
        <v>767.63045372203237</v>
      </c>
      <c r="AL27" s="108">
        <f t="shared" si="29"/>
        <v>756.64216026535235</v>
      </c>
      <c r="AM27" s="16"/>
      <c r="AN27" s="15"/>
    </row>
    <row r="28" spans="2:65" s="323" customFormat="1" ht="14">
      <c r="B28" s="324"/>
      <c r="C28" s="325">
        <f>SUM(C5:C6,C10)</f>
        <v>5609573.0522525255</v>
      </c>
      <c r="D28" s="325">
        <f t="shared" ref="D28:AL28" si="30">SUM(D5:D6,D10)</f>
        <v>5731616.3230608124</v>
      </c>
      <c r="E28" s="325">
        <f t="shared" si="30"/>
        <v>6068256.9698323216</v>
      </c>
      <c r="F28" s="325">
        <f t="shared" si="30"/>
        <v>4738353.8301402498</v>
      </c>
      <c r="G28" s="325">
        <f t="shared" si="30"/>
        <v>5816058.2071118141</v>
      </c>
      <c r="H28" s="325">
        <f t="shared" si="30"/>
        <v>6041098.8842211058</v>
      </c>
      <c r="I28" s="325">
        <f t="shared" si="30"/>
        <v>5751145.4563557794</v>
      </c>
      <c r="J28" s="325">
        <f t="shared" si="30"/>
        <v>5183355.5609672377</v>
      </c>
      <c r="K28" s="325">
        <f t="shared" si="30"/>
        <v>4699300.136988272</v>
      </c>
      <c r="L28" s="325">
        <f t="shared" si="30"/>
        <v>4649420.4361978322</v>
      </c>
      <c r="M28" s="325">
        <f t="shared" si="30"/>
        <v>4965577.8923927657</v>
      </c>
      <c r="N28" s="325">
        <f t="shared" si="30"/>
        <v>4238834.0316071166</v>
      </c>
      <c r="O28" s="325">
        <f t="shared" si="30"/>
        <v>3516248.4091918534</v>
      </c>
      <c r="P28" s="325">
        <f t="shared" si="30"/>
        <v>2956290.8457696908</v>
      </c>
      <c r="Q28" s="325">
        <f t="shared" si="30"/>
        <v>3516510.7329022614</v>
      </c>
      <c r="R28" s="325">
        <f t="shared" si="30"/>
        <v>3891588.605731274</v>
      </c>
      <c r="S28" s="325">
        <f t="shared" si="30"/>
        <v>4062080.2276130011</v>
      </c>
      <c r="T28" s="325">
        <f t="shared" si="30"/>
        <v>2783989.9371823231</v>
      </c>
      <c r="U28" s="325">
        <f t="shared" si="30"/>
        <v>4493361.5707200291</v>
      </c>
      <c r="V28" s="325">
        <f t="shared" si="30"/>
        <v>4295593.4175885683</v>
      </c>
      <c r="W28" s="325">
        <f t="shared" si="30"/>
        <v>5017884.1202309746</v>
      </c>
      <c r="X28" s="325">
        <f t="shared" si="30"/>
        <v>4511203.6313636554</v>
      </c>
      <c r="Y28" s="325">
        <f t="shared" si="30"/>
        <v>5645760.4155838648</v>
      </c>
      <c r="Z28" s="325">
        <f t="shared" si="30"/>
        <v>5215432.5366169885</v>
      </c>
      <c r="AA28" s="325">
        <f t="shared" si="30"/>
        <v>5403896.8800856108</v>
      </c>
      <c r="AB28" s="325">
        <f t="shared" si="30"/>
        <v>6100675.2360734763</v>
      </c>
      <c r="AC28" s="325">
        <f t="shared" si="30"/>
        <v>6348613.4896853035</v>
      </c>
      <c r="AD28" s="325">
        <f t="shared" si="30"/>
        <v>4974562.3326882031</v>
      </c>
      <c r="AE28" s="325">
        <f t="shared" si="30"/>
        <v>3893146.7135535032</v>
      </c>
      <c r="AF28" s="325">
        <f t="shared" si="30"/>
        <v>3414998.4667047942</v>
      </c>
      <c r="AG28" s="325">
        <f t="shared" si="30"/>
        <v>2563270.6870975727</v>
      </c>
      <c r="AH28" s="325">
        <f t="shared" si="30"/>
        <v>340734.98465039779</v>
      </c>
      <c r="AI28" s="325">
        <f t="shared" si="30"/>
        <v>334265.24068285839</v>
      </c>
      <c r="AJ28" s="325">
        <f t="shared" si="30"/>
        <v>328278.12681537971</v>
      </c>
      <c r="AK28" s="325">
        <f t="shared" si="30"/>
        <v>322701.98347361083</v>
      </c>
      <c r="AL28" s="325">
        <f t="shared" si="30"/>
        <v>317481.90045141382</v>
      </c>
      <c r="AM28" s="326"/>
      <c r="AN28" s="327"/>
    </row>
    <row r="29" spans="2:65" s="323" customFormat="1" ht="15.5">
      <c r="B29" s="395"/>
      <c r="C29" s="396">
        <v>1</v>
      </c>
      <c r="D29" s="283">
        <f>IF(D31&lt;=$B30,C29+1,0)</f>
        <v>2</v>
      </c>
      <c r="E29" s="283">
        <f t="shared" ref="E29:AL29" si="31">IF(E31&lt;=$B30,D29+1,0)</f>
        <v>3</v>
      </c>
      <c r="F29" s="283">
        <f t="shared" si="31"/>
        <v>4</v>
      </c>
      <c r="G29" s="283">
        <f t="shared" si="31"/>
        <v>5</v>
      </c>
      <c r="H29" s="283">
        <f t="shared" si="31"/>
        <v>6</v>
      </c>
      <c r="I29" s="283">
        <f t="shared" si="31"/>
        <v>7</v>
      </c>
      <c r="J29" s="283">
        <f t="shared" si="31"/>
        <v>8</v>
      </c>
      <c r="K29" s="283">
        <f t="shared" si="31"/>
        <v>9</v>
      </c>
      <c r="L29" s="283">
        <f t="shared" si="31"/>
        <v>10</v>
      </c>
      <c r="M29" s="283">
        <f t="shared" si="31"/>
        <v>11</v>
      </c>
      <c r="N29" s="283">
        <f t="shared" si="31"/>
        <v>12</v>
      </c>
      <c r="O29" s="283">
        <f t="shared" si="31"/>
        <v>13</v>
      </c>
      <c r="P29" s="283">
        <f t="shared" si="31"/>
        <v>14</v>
      </c>
      <c r="Q29" s="283">
        <f t="shared" si="31"/>
        <v>15</v>
      </c>
      <c r="R29" s="283">
        <f t="shared" si="31"/>
        <v>16</v>
      </c>
      <c r="S29" s="283">
        <f t="shared" si="31"/>
        <v>17</v>
      </c>
      <c r="T29" s="283">
        <f t="shared" si="31"/>
        <v>18</v>
      </c>
      <c r="U29" s="283">
        <f t="shared" si="31"/>
        <v>19</v>
      </c>
      <c r="V29" s="283">
        <f t="shared" si="31"/>
        <v>20</v>
      </c>
      <c r="W29" s="283">
        <f t="shared" si="31"/>
        <v>21</v>
      </c>
      <c r="X29" s="283">
        <f t="shared" si="31"/>
        <v>22</v>
      </c>
      <c r="Y29" s="283">
        <f t="shared" si="31"/>
        <v>23</v>
      </c>
      <c r="Z29" s="283">
        <f t="shared" si="31"/>
        <v>24</v>
      </c>
      <c r="AA29" s="283">
        <f t="shared" si="31"/>
        <v>25</v>
      </c>
      <c r="AB29" s="283">
        <f t="shared" si="31"/>
        <v>26</v>
      </c>
      <c r="AC29" s="283">
        <f t="shared" si="31"/>
        <v>27</v>
      </c>
      <c r="AD29" s="283">
        <f t="shared" si="31"/>
        <v>28</v>
      </c>
      <c r="AE29" s="283">
        <f t="shared" si="31"/>
        <v>29</v>
      </c>
      <c r="AF29" s="283">
        <f t="shared" si="31"/>
        <v>30</v>
      </c>
      <c r="AG29" s="283">
        <f t="shared" si="31"/>
        <v>31</v>
      </c>
      <c r="AH29" s="283">
        <f t="shared" si="31"/>
        <v>32</v>
      </c>
      <c r="AI29" s="283">
        <f t="shared" si="31"/>
        <v>33</v>
      </c>
      <c r="AJ29" s="283">
        <f t="shared" si="31"/>
        <v>34</v>
      </c>
      <c r="AK29" s="283">
        <f t="shared" si="31"/>
        <v>35</v>
      </c>
      <c r="AL29" s="283">
        <f t="shared" si="31"/>
        <v>36</v>
      </c>
    </row>
    <row r="30" spans="2:65" s="283" customFormat="1" ht="15.5">
      <c r="B30" s="283">
        <f>MAX(C30:AL30)</f>
        <v>2025</v>
      </c>
      <c r="C30" s="283">
        <v>1990</v>
      </c>
      <c r="D30" s="283">
        <f>IF(SUM(D23:D27)=0,0,C30+1)</f>
        <v>1991</v>
      </c>
      <c r="E30" s="283">
        <f t="shared" ref="E30:AL30" si="32">IF(SUM(E23:E27)=0,0,D30+1)</f>
        <v>1992</v>
      </c>
      <c r="F30" s="283">
        <f t="shared" si="32"/>
        <v>1993</v>
      </c>
      <c r="G30" s="283">
        <f t="shared" si="32"/>
        <v>1994</v>
      </c>
      <c r="H30" s="283">
        <f t="shared" si="32"/>
        <v>1995</v>
      </c>
      <c r="I30" s="283">
        <f t="shared" si="32"/>
        <v>1996</v>
      </c>
      <c r="J30" s="283">
        <f t="shared" si="32"/>
        <v>1997</v>
      </c>
      <c r="K30" s="283">
        <f t="shared" si="32"/>
        <v>1998</v>
      </c>
      <c r="L30" s="283">
        <f t="shared" si="32"/>
        <v>1999</v>
      </c>
      <c r="M30" s="283">
        <f t="shared" si="32"/>
        <v>2000</v>
      </c>
      <c r="N30" s="283">
        <f t="shared" si="32"/>
        <v>2001</v>
      </c>
      <c r="O30" s="283">
        <f t="shared" si="32"/>
        <v>2002</v>
      </c>
      <c r="P30" s="283">
        <f t="shared" si="32"/>
        <v>2003</v>
      </c>
      <c r="Q30" s="283">
        <f t="shared" si="32"/>
        <v>2004</v>
      </c>
      <c r="R30" s="283">
        <f t="shared" si="32"/>
        <v>2005</v>
      </c>
      <c r="S30" s="283">
        <f t="shared" si="32"/>
        <v>2006</v>
      </c>
      <c r="T30" s="283">
        <f t="shared" si="32"/>
        <v>2007</v>
      </c>
      <c r="U30" s="283">
        <f t="shared" si="32"/>
        <v>2008</v>
      </c>
      <c r="V30" s="283">
        <f t="shared" si="32"/>
        <v>2009</v>
      </c>
      <c r="W30" s="283">
        <f t="shared" si="32"/>
        <v>2010</v>
      </c>
      <c r="X30" s="283">
        <f t="shared" si="32"/>
        <v>2011</v>
      </c>
      <c r="Y30" s="283">
        <f t="shared" si="32"/>
        <v>2012</v>
      </c>
      <c r="Z30" s="283">
        <f t="shared" si="32"/>
        <v>2013</v>
      </c>
      <c r="AA30" s="283">
        <f t="shared" si="32"/>
        <v>2014</v>
      </c>
      <c r="AB30" s="283">
        <f t="shared" si="32"/>
        <v>2015</v>
      </c>
      <c r="AC30" s="283">
        <f t="shared" si="32"/>
        <v>2016</v>
      </c>
      <c r="AD30" s="283">
        <f t="shared" si="32"/>
        <v>2017</v>
      </c>
      <c r="AE30" s="283">
        <f t="shared" si="32"/>
        <v>2018</v>
      </c>
      <c r="AF30" s="283">
        <f t="shared" si="32"/>
        <v>2019</v>
      </c>
      <c r="AG30" s="283">
        <f t="shared" si="32"/>
        <v>2020</v>
      </c>
      <c r="AH30" s="283">
        <f t="shared" si="32"/>
        <v>2021</v>
      </c>
      <c r="AI30" s="283">
        <f t="shared" si="32"/>
        <v>2022</v>
      </c>
      <c r="AJ30" s="283">
        <f t="shared" si="32"/>
        <v>2023</v>
      </c>
      <c r="AK30" s="283">
        <f t="shared" si="32"/>
        <v>2024</v>
      </c>
      <c r="AL30" s="283">
        <f t="shared" si="32"/>
        <v>2025</v>
      </c>
    </row>
    <row r="31" spans="2:65" s="323" customFormat="1" ht="15.5">
      <c r="B31" s="397"/>
      <c r="C31" s="326">
        <v>1990</v>
      </c>
      <c r="D31" s="326">
        <v>1991</v>
      </c>
      <c r="E31" s="326">
        <f>D31+1</f>
        <v>1992</v>
      </c>
      <c r="F31" s="326">
        <f t="shared" ref="F31:AL31" si="33">E31+1</f>
        <v>1993</v>
      </c>
      <c r="G31" s="326">
        <f t="shared" si="33"/>
        <v>1994</v>
      </c>
      <c r="H31" s="326">
        <f t="shared" si="33"/>
        <v>1995</v>
      </c>
      <c r="I31" s="326">
        <f t="shared" si="33"/>
        <v>1996</v>
      </c>
      <c r="J31" s="326">
        <f t="shared" si="33"/>
        <v>1997</v>
      </c>
      <c r="K31" s="326">
        <f t="shared" si="33"/>
        <v>1998</v>
      </c>
      <c r="L31" s="326">
        <f t="shared" si="33"/>
        <v>1999</v>
      </c>
      <c r="M31" s="326">
        <f t="shared" si="33"/>
        <v>2000</v>
      </c>
      <c r="N31" s="326">
        <f t="shared" si="33"/>
        <v>2001</v>
      </c>
      <c r="O31" s="326">
        <f t="shared" si="33"/>
        <v>2002</v>
      </c>
      <c r="P31" s="326">
        <f t="shared" si="33"/>
        <v>2003</v>
      </c>
      <c r="Q31" s="326">
        <f t="shared" si="33"/>
        <v>2004</v>
      </c>
      <c r="R31" s="326">
        <f t="shared" si="33"/>
        <v>2005</v>
      </c>
      <c r="S31" s="326">
        <f t="shared" si="33"/>
        <v>2006</v>
      </c>
      <c r="T31" s="326">
        <f t="shared" si="33"/>
        <v>2007</v>
      </c>
      <c r="U31" s="326">
        <f t="shared" si="33"/>
        <v>2008</v>
      </c>
      <c r="V31" s="326">
        <f t="shared" si="33"/>
        <v>2009</v>
      </c>
      <c r="W31" s="326">
        <f t="shared" si="33"/>
        <v>2010</v>
      </c>
      <c r="X31" s="326">
        <f t="shared" si="33"/>
        <v>2011</v>
      </c>
      <c r="Y31" s="326">
        <f t="shared" si="33"/>
        <v>2012</v>
      </c>
      <c r="Z31" s="326">
        <f t="shared" si="33"/>
        <v>2013</v>
      </c>
      <c r="AA31" s="326">
        <f t="shared" si="33"/>
        <v>2014</v>
      </c>
      <c r="AB31" s="326">
        <f t="shared" si="33"/>
        <v>2015</v>
      </c>
      <c r="AC31" s="326">
        <f t="shared" si="33"/>
        <v>2016</v>
      </c>
      <c r="AD31" s="326">
        <f t="shared" si="33"/>
        <v>2017</v>
      </c>
      <c r="AE31" s="326">
        <f t="shared" si="33"/>
        <v>2018</v>
      </c>
      <c r="AF31" s="326">
        <f t="shared" si="33"/>
        <v>2019</v>
      </c>
      <c r="AG31" s="326">
        <f t="shared" si="33"/>
        <v>2020</v>
      </c>
      <c r="AH31" s="326">
        <f t="shared" si="33"/>
        <v>2021</v>
      </c>
      <c r="AI31" s="326">
        <f t="shared" si="33"/>
        <v>2022</v>
      </c>
      <c r="AJ31" s="326">
        <f t="shared" si="33"/>
        <v>2023</v>
      </c>
      <c r="AK31" s="326">
        <f t="shared" si="33"/>
        <v>2024</v>
      </c>
      <c r="AL31" s="326">
        <f t="shared" si="33"/>
        <v>2025</v>
      </c>
    </row>
    <row r="32" spans="2:65" ht="15.5">
      <c r="B32" s="13"/>
      <c r="C32" s="4"/>
      <c r="M32" s="309"/>
      <c r="N32" s="309"/>
    </row>
    <row r="33" spans="2:20" ht="15.5">
      <c r="B33" s="13"/>
      <c r="C33" s="4"/>
      <c r="M33" s="310" t="str">
        <f>"Greenhouse Gas Emissions from Coal Mining, 1990-"&amp;B30</f>
        <v>Greenhouse Gas Emissions from Coal Mining, 1990-2025</v>
      </c>
      <c r="N33" s="309"/>
      <c r="O33" s="305"/>
      <c r="P33" s="305"/>
      <c r="Q33" s="305"/>
      <c r="R33" s="305"/>
      <c r="S33" s="305"/>
      <c r="T33" s="305"/>
    </row>
    <row r="34" spans="2:20">
      <c r="M34" s="309"/>
      <c r="N34" s="309"/>
      <c r="O34" s="305"/>
      <c r="P34" s="305"/>
      <c r="Q34" s="305"/>
      <c r="R34" s="305"/>
      <c r="S34" s="305"/>
      <c r="T34" s="305"/>
    </row>
    <row r="35" spans="2:20">
      <c r="M35" s="309"/>
      <c r="N35" s="309"/>
      <c r="O35" s="305"/>
      <c r="P35" s="305"/>
      <c r="Q35" s="305"/>
      <c r="R35" s="305"/>
      <c r="S35" s="305"/>
      <c r="T35" s="305"/>
    </row>
    <row r="36" spans="2:20">
      <c r="M36" s="309"/>
      <c r="N36" s="309"/>
      <c r="O36" s="305"/>
      <c r="P36" s="305"/>
      <c r="Q36" s="305"/>
      <c r="R36" s="305"/>
      <c r="S36" s="305"/>
      <c r="T36" s="305"/>
    </row>
    <row r="37" spans="2:20">
      <c r="M37" s="309"/>
      <c r="N37" s="309"/>
      <c r="O37" s="305"/>
      <c r="P37" s="305"/>
      <c r="Q37" s="305"/>
      <c r="R37" s="305"/>
      <c r="S37" s="305"/>
      <c r="T37" s="305"/>
    </row>
    <row r="38" spans="2:20">
      <c r="M38" s="309"/>
      <c r="N38" s="309"/>
      <c r="O38" s="305"/>
      <c r="P38" s="305"/>
      <c r="Q38" s="305"/>
      <c r="R38" s="305"/>
      <c r="S38" s="305"/>
      <c r="T38" s="305"/>
    </row>
    <row r="39" spans="2:20">
      <c r="M39" s="305"/>
      <c r="N39" s="305"/>
      <c r="O39" s="305"/>
      <c r="P39" s="305"/>
      <c r="Q39" s="305"/>
      <c r="R39" s="305"/>
      <c r="S39" s="305"/>
      <c r="T39" s="305"/>
    </row>
    <row r="40" spans="2:20">
      <c r="M40" s="305"/>
      <c r="N40" s="305"/>
      <c r="O40" s="305"/>
      <c r="P40" s="305"/>
      <c r="Q40" s="305"/>
      <c r="R40" s="305"/>
      <c r="S40" s="305"/>
      <c r="T40" s="305"/>
    </row>
    <row r="41" spans="2:20">
      <c r="M41" s="305"/>
      <c r="N41" s="305"/>
      <c r="O41" s="305"/>
      <c r="P41" s="305"/>
      <c r="Q41" s="305"/>
      <c r="R41" s="305"/>
      <c r="S41" s="305"/>
      <c r="T41" s="305"/>
    </row>
    <row r="42" spans="2:20">
      <c r="M42" s="305"/>
      <c r="N42" s="305"/>
      <c r="O42" s="305"/>
      <c r="P42" s="305"/>
      <c r="Q42" s="305"/>
      <c r="R42" s="305"/>
      <c r="S42" s="305"/>
      <c r="T42" s="305"/>
    </row>
    <row r="43" spans="2:20">
      <c r="M43" s="305"/>
      <c r="N43" s="305"/>
      <c r="O43" s="305"/>
      <c r="P43" s="305"/>
      <c r="Q43" s="305"/>
      <c r="R43" s="305"/>
      <c r="S43" s="305"/>
      <c r="T43" s="305"/>
    </row>
    <row r="44" spans="2:20">
      <c r="M44" s="305"/>
      <c r="N44" s="305"/>
      <c r="O44" s="305"/>
      <c r="P44" s="305"/>
      <c r="Q44" s="305"/>
      <c r="R44" s="305"/>
      <c r="S44" s="305"/>
      <c r="T44" s="305"/>
    </row>
    <row r="45" spans="2:20">
      <c r="M45" s="305"/>
      <c r="N45" s="305"/>
      <c r="O45" s="305"/>
      <c r="P45" s="305"/>
      <c r="Q45" s="305"/>
      <c r="R45" s="305"/>
      <c r="S45" s="305"/>
      <c r="T45" s="305"/>
    </row>
    <row r="46" spans="2:20">
      <c r="M46" s="305"/>
      <c r="N46" s="305"/>
      <c r="O46" s="305"/>
      <c r="P46" s="305"/>
      <c r="Q46" s="305"/>
      <c r="R46" s="305"/>
      <c r="S46" s="305"/>
      <c r="T46" s="305"/>
    </row>
    <row r="47" spans="2:20">
      <c r="M47" s="305"/>
      <c r="N47" s="305"/>
      <c r="O47" s="305"/>
      <c r="P47" s="305"/>
      <c r="Q47" s="305"/>
      <c r="R47" s="305"/>
      <c r="S47" s="305"/>
      <c r="T47" s="305"/>
    </row>
    <row r="48" spans="2:20">
      <c r="M48" s="305"/>
      <c r="N48" s="305"/>
      <c r="O48" s="305"/>
      <c r="P48" s="305"/>
      <c r="Q48" s="305"/>
      <c r="R48" s="305"/>
      <c r="S48" s="305"/>
      <c r="T48" s="305"/>
    </row>
    <row r="49" spans="13:20">
      <c r="M49" s="305"/>
      <c r="N49" s="305"/>
      <c r="O49" s="305"/>
      <c r="P49" s="305"/>
      <c r="Q49" s="305"/>
      <c r="R49" s="305"/>
      <c r="S49" s="305"/>
      <c r="T49" s="305"/>
    </row>
  </sheetData>
  <sheetProtection algorithmName="SHA-512" hashValue="bRMHR54ty8cOqoeE+uhtgqcZsQnV/4jnodov12BmZlLFBO7kmeUgogEFCqVBvfb85jvoMYyznzQYA8yd/9ZgLQ==" saltValue="jf54GfY6nOMN2ozIvigF0w==" spinCount="100000" sheet="1" objects="1" scenarios="1"/>
  <protectedRanges>
    <protectedRange sqref="C10:AL11" name="AES Coal"/>
  </protectedRanges>
  <mergeCells count="2">
    <mergeCell ref="C2:M2"/>
    <mergeCell ref="A1:E1"/>
  </mergeCells>
  <phoneticPr fontId="0" type="noConversion"/>
  <pageMargins left="0.75" right="0.75" top="1" bottom="1" header="0.5" footer="0.5"/>
  <pageSetup orientation="portrait" r:id="rId1"/>
  <headerFooter alignWithMargins="0"/>
  <ignoredErrors>
    <ignoredError sqref="C28:AF28 AG28:AL28"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06"/>
  <dimension ref="A1:BZ52"/>
  <sheetViews>
    <sheetView showGridLines="0" showRowColHeaders="0" workbookViewId="0">
      <selection activeCell="B4" sqref="B4"/>
    </sheetView>
  </sheetViews>
  <sheetFormatPr defaultColWidth="9.1796875" defaultRowHeight="12.5"/>
  <cols>
    <col min="1" max="1" width="6.1796875" style="48" customWidth="1"/>
    <col min="2" max="2" width="23.26953125" style="48" bestFit="1" customWidth="1"/>
    <col min="3" max="3" width="10.26953125" style="48" customWidth="1"/>
    <col min="4" max="12" width="9.81640625" style="48" customWidth="1"/>
    <col min="13" max="38" width="10.26953125" style="48" customWidth="1"/>
    <col min="39" max="46" width="5.54296875" style="48" customWidth="1"/>
    <col min="47" max="47" width="9.1796875" style="48"/>
    <col min="48" max="48" width="14.1796875" style="48" customWidth="1"/>
    <col min="49" max="59" width="5.54296875" style="48" customWidth="1"/>
    <col min="60" max="60" width="9.1796875" style="48"/>
    <col min="61" max="61" width="17" style="48" customWidth="1"/>
    <col min="62" max="72" width="5.54296875" style="48" customWidth="1"/>
    <col min="73" max="16384" width="9.1796875" style="48"/>
  </cols>
  <sheetData>
    <row r="1" spans="1:78" ht="72" customHeight="1">
      <c r="A1" s="426" t="str">
        <f>"Summary of CH4 Emissions from Oil and Gas Activities in "&amp;StateName&amp;" (MMTCO2E)"</f>
        <v>Summary of CH4 Emissions from Oil and Gas Activities in Illinois (MMTCO2E)</v>
      </c>
      <c r="B1" s="426"/>
      <c r="C1" s="426"/>
      <c r="D1" s="426"/>
      <c r="E1" s="426"/>
      <c r="AZ1" s="1">
        <v>45331.684485995371</v>
      </c>
    </row>
    <row r="2" spans="1:78" ht="68.5" customHeight="1">
      <c r="A2" s="49"/>
      <c r="B2" s="50"/>
      <c r="C2" s="428"/>
      <c r="D2" s="428"/>
      <c r="E2" s="428"/>
      <c r="F2" s="428"/>
      <c r="G2" s="428"/>
      <c r="H2" s="428"/>
      <c r="I2" s="428"/>
      <c r="J2" s="428"/>
      <c r="K2" s="428"/>
      <c r="L2" s="428"/>
      <c r="M2" s="428"/>
      <c r="P2" s="51"/>
      <c r="Q2" s="52"/>
      <c r="R2" s="52"/>
      <c r="S2" s="52"/>
      <c r="T2" s="52"/>
      <c r="U2" s="52"/>
      <c r="V2" s="52"/>
      <c r="W2" s="52"/>
      <c r="X2" s="52"/>
      <c r="Y2" s="52"/>
      <c r="Z2" s="52"/>
      <c r="AA2" s="52"/>
      <c r="AB2" s="52"/>
      <c r="AC2" s="51"/>
      <c r="AD2" s="52"/>
      <c r="AE2" s="52"/>
      <c r="AF2" s="52"/>
      <c r="AG2" s="52"/>
      <c r="AH2" s="52"/>
      <c r="AI2" s="52"/>
      <c r="AJ2" s="52"/>
      <c r="AK2" s="52"/>
      <c r="AL2" s="52"/>
      <c r="AM2" s="52"/>
      <c r="AN2" s="52"/>
      <c r="AO2" s="52"/>
      <c r="AP2" s="52"/>
      <c r="AQ2" s="52"/>
      <c r="AR2" s="52"/>
      <c r="AS2" s="52"/>
      <c r="AT2" s="52"/>
      <c r="AU2" s="51"/>
      <c r="AV2" s="52"/>
      <c r="AW2" s="52"/>
      <c r="AX2" s="52"/>
      <c r="AY2" s="52"/>
      <c r="AZ2" s="52"/>
      <c r="BA2" s="52"/>
      <c r="BB2" s="52"/>
      <c r="BC2" s="52"/>
      <c r="BD2" s="52"/>
      <c r="BE2" s="52"/>
      <c r="BF2" s="52"/>
      <c r="BG2" s="52"/>
      <c r="BI2" s="53"/>
      <c r="BJ2" s="52"/>
      <c r="BK2" s="52"/>
      <c r="BL2" s="52"/>
      <c r="BM2" s="52"/>
      <c r="BN2" s="52"/>
      <c r="BO2" s="52"/>
      <c r="BP2" s="52"/>
      <c r="BQ2" s="52"/>
      <c r="BR2" s="52"/>
      <c r="BS2" s="52"/>
      <c r="BT2" s="52"/>
    </row>
    <row r="3" spans="1:78" ht="14.5" thickBot="1">
      <c r="B3" s="56" t="s">
        <v>19</v>
      </c>
      <c r="C3" s="61"/>
      <c r="D3" s="61"/>
      <c r="E3" s="61"/>
      <c r="F3" s="61"/>
      <c r="G3" s="61"/>
      <c r="H3" s="61"/>
      <c r="I3" s="61"/>
      <c r="J3" s="61"/>
      <c r="K3" s="61"/>
      <c r="L3" s="61"/>
      <c r="M3" s="61"/>
      <c r="N3" s="61"/>
      <c r="O3" s="61"/>
      <c r="P3" s="61"/>
      <c r="Q3" s="61"/>
      <c r="R3" s="61"/>
      <c r="S3" s="57"/>
      <c r="T3" s="57"/>
      <c r="U3" s="57"/>
      <c r="V3" s="57"/>
      <c r="W3" s="212"/>
      <c r="X3" s="212"/>
      <c r="Y3" s="212"/>
      <c r="Z3" s="212"/>
      <c r="AA3" s="212"/>
      <c r="AB3" s="212"/>
      <c r="AC3" s="212"/>
      <c r="AD3" s="212"/>
      <c r="AE3" s="212"/>
      <c r="AF3" s="212"/>
      <c r="AG3" s="212"/>
      <c r="AH3" s="212"/>
      <c r="AI3" s="212"/>
      <c r="AJ3" s="212"/>
      <c r="AK3" s="212"/>
      <c r="AL3" s="212"/>
      <c r="AM3" s="52"/>
      <c r="AN3" s="51"/>
      <c r="AO3" s="52"/>
      <c r="AP3" s="52"/>
      <c r="AQ3" s="52"/>
      <c r="AR3" s="52"/>
      <c r="AS3" s="52"/>
      <c r="AT3" s="52"/>
      <c r="AU3" s="52"/>
      <c r="AV3" s="52"/>
      <c r="AW3" s="52"/>
      <c r="AX3" s="52"/>
      <c r="AY3" s="52"/>
      <c r="AZ3" s="52"/>
      <c r="BA3" s="51"/>
      <c r="BB3" s="52"/>
      <c r="BC3" s="52"/>
      <c r="BD3" s="52"/>
      <c r="BE3" s="52"/>
      <c r="BF3" s="52"/>
      <c r="BG3" s="52"/>
      <c r="BH3" s="52"/>
      <c r="BI3" s="52"/>
      <c r="BJ3" s="52"/>
      <c r="BK3" s="52"/>
      <c r="BL3" s="52"/>
      <c r="BM3" s="52"/>
    </row>
    <row r="4" spans="1:78" ht="14.5" thickBot="1">
      <c r="B4" s="58"/>
      <c r="C4" s="56">
        <v>1990</v>
      </c>
      <c r="D4" s="59">
        <v>1991</v>
      </c>
      <c r="E4" s="59">
        <v>1992</v>
      </c>
      <c r="F4" s="56">
        <v>1993</v>
      </c>
      <c r="G4" s="56">
        <v>1994</v>
      </c>
      <c r="H4" s="56">
        <v>1995</v>
      </c>
      <c r="I4" s="56">
        <v>1996</v>
      </c>
      <c r="J4" s="56">
        <v>1997</v>
      </c>
      <c r="K4" s="56">
        <v>1998</v>
      </c>
      <c r="L4" s="56">
        <v>1999</v>
      </c>
      <c r="M4" s="56">
        <v>2000</v>
      </c>
      <c r="N4" s="56">
        <v>2001</v>
      </c>
      <c r="O4" s="56">
        <v>2002</v>
      </c>
      <c r="P4" s="56">
        <v>2003</v>
      </c>
      <c r="Q4" s="56">
        <v>2004</v>
      </c>
      <c r="R4" s="56">
        <v>2005</v>
      </c>
      <c r="S4" s="56">
        <v>2006</v>
      </c>
      <c r="T4" s="56">
        <v>2007</v>
      </c>
      <c r="U4" s="56">
        <v>2008</v>
      </c>
      <c r="V4" s="56">
        <v>2009</v>
      </c>
      <c r="W4" s="56">
        <v>2010</v>
      </c>
      <c r="X4" s="56">
        <v>2011</v>
      </c>
      <c r="Y4" s="56">
        <v>2012</v>
      </c>
      <c r="Z4" s="56">
        <v>2013</v>
      </c>
      <c r="AA4" s="56">
        <v>2014</v>
      </c>
      <c r="AB4" s="56">
        <v>2015</v>
      </c>
      <c r="AC4" s="56">
        <v>2016</v>
      </c>
      <c r="AD4" s="56">
        <v>2017</v>
      </c>
      <c r="AE4" s="56">
        <v>2018</v>
      </c>
      <c r="AF4" s="56">
        <v>2019</v>
      </c>
      <c r="AG4" s="56">
        <v>2020</v>
      </c>
      <c r="AH4" s="56">
        <v>2021</v>
      </c>
      <c r="AI4" s="56">
        <v>2022</v>
      </c>
      <c r="AJ4" s="56">
        <v>2023</v>
      </c>
      <c r="AK4" s="56">
        <v>2024</v>
      </c>
      <c r="AL4" s="56">
        <v>2025</v>
      </c>
      <c r="AM4" s="52"/>
      <c r="AN4" s="51"/>
      <c r="AO4" s="52"/>
      <c r="AP4" s="52"/>
      <c r="AQ4" s="52"/>
      <c r="AR4" s="52"/>
      <c r="AS4" s="52"/>
      <c r="AT4" s="52"/>
      <c r="AU4" s="52"/>
      <c r="AV4" s="52"/>
      <c r="AW4" s="52"/>
      <c r="AX4" s="52"/>
      <c r="AY4" s="52"/>
      <c r="AZ4" s="52"/>
      <c r="BA4" s="51"/>
      <c r="BB4" s="52"/>
      <c r="BC4" s="52"/>
      <c r="BD4" s="52"/>
      <c r="BE4" s="52"/>
      <c r="BF4" s="52"/>
      <c r="BG4" s="52"/>
      <c r="BH4" s="52"/>
      <c r="BI4" s="52"/>
      <c r="BJ4" s="52"/>
      <c r="BK4" s="52"/>
      <c r="BL4" s="52"/>
      <c r="BM4" s="52"/>
    </row>
    <row r="5" spans="1:78" ht="14">
      <c r="B5" s="60" t="s">
        <v>23</v>
      </c>
      <c r="C5" s="214">
        <f t="shared" ref="C5:R5" si="0">(C19*CH4GWP*10^-6)+C26</f>
        <v>4.007136E-2</v>
      </c>
      <c r="D5" s="214">
        <f t="shared" si="0"/>
        <v>4.1984879999999995E-2</v>
      </c>
      <c r="E5" s="214">
        <f t="shared" si="0"/>
        <v>4.3104880000000005E-2</v>
      </c>
      <c r="F5" s="214">
        <f t="shared" si="0"/>
        <v>4.3443400000000007E-2</v>
      </c>
      <c r="G5" s="214">
        <f t="shared" si="0"/>
        <v>4.4226000000000001E-2</v>
      </c>
      <c r="H5" s="214">
        <f t="shared" si="0"/>
        <v>4.228896E-2</v>
      </c>
      <c r="I5" s="214">
        <f t="shared" si="0"/>
        <v>4.2268800000000002E-2</v>
      </c>
      <c r="J5" s="214">
        <f t="shared" si="0"/>
        <v>4.2184799999999995E-2</v>
      </c>
      <c r="K5" s="214">
        <f t="shared" si="0"/>
        <v>2.10826E-2</v>
      </c>
      <c r="L5" s="214">
        <f t="shared" si="0"/>
        <v>3.4355999999999998E-2</v>
      </c>
      <c r="M5" s="214">
        <f t="shared" si="0"/>
        <v>3.19872E-2</v>
      </c>
      <c r="N5" s="214">
        <f t="shared" si="0"/>
        <v>3.4271999999999997E-2</v>
      </c>
      <c r="O5" s="214">
        <f t="shared" si="0"/>
        <v>2.5766999999999998E-2</v>
      </c>
      <c r="P5" s="214">
        <f t="shared" si="0"/>
        <v>2.7551999999999997E-2</v>
      </c>
      <c r="Q5" s="214">
        <f t="shared" si="0"/>
        <v>2.888508E-2</v>
      </c>
      <c r="R5" s="214">
        <f t="shared" si="0"/>
        <v>3.6276799999999991E-2</v>
      </c>
      <c r="S5" s="214">
        <f t="shared" ref="S5:AG5" si="1">(S19*CH4GWP*10^-6)+S26</f>
        <v>3.6276799999999991E-2</v>
      </c>
      <c r="T5" s="214">
        <f t="shared" si="1"/>
        <v>4.9363999999999996E-3</v>
      </c>
      <c r="U5" s="214">
        <f t="shared" si="1"/>
        <v>5.1659999999999987E-3</v>
      </c>
      <c r="V5" s="214">
        <f t="shared" si="1"/>
        <v>5.8548000000000003E-3</v>
      </c>
      <c r="W5" s="214">
        <f t="shared" si="1"/>
        <v>3.8473331220220652</v>
      </c>
      <c r="X5" s="214">
        <f t="shared" si="1"/>
        <v>3.8520209948658861</v>
      </c>
      <c r="Y5" s="214">
        <f t="shared" si="1"/>
        <v>3.8298934853427511</v>
      </c>
      <c r="Z5" s="214">
        <f t="shared" si="1"/>
        <v>3.825826337817126</v>
      </c>
      <c r="AA5" s="214">
        <f t="shared" si="1"/>
        <v>3.8338021321777771</v>
      </c>
      <c r="AB5" s="214">
        <f t="shared" si="1"/>
        <v>3.8029789794541276</v>
      </c>
      <c r="AC5" s="214">
        <f t="shared" si="1"/>
        <v>3.7980355174659413</v>
      </c>
      <c r="AD5" s="214">
        <f t="shared" si="1"/>
        <v>3.8013546109401619</v>
      </c>
      <c r="AE5" s="214">
        <f t="shared" si="1"/>
        <v>3.7830997832794542</v>
      </c>
      <c r="AF5" s="214">
        <f t="shared" si="1"/>
        <v>3.819113045961616</v>
      </c>
      <c r="AG5" s="214">
        <f t="shared" si="1"/>
        <v>3.820669715827246</v>
      </c>
      <c r="AH5" s="214">
        <f t="shared" ref="AH5:AL5" si="2">(AH19*CH4GWP*10^-6)+AH26</f>
        <v>3.8152114226839777</v>
      </c>
      <c r="AI5" s="214">
        <f t="shared" si="2"/>
        <v>3.8164075844402912</v>
      </c>
      <c r="AJ5" s="214">
        <f t="shared" si="2"/>
        <v>0</v>
      </c>
      <c r="AK5" s="214">
        <f t="shared" si="2"/>
        <v>0</v>
      </c>
      <c r="AL5" s="214">
        <f t="shared" si="2"/>
        <v>0</v>
      </c>
      <c r="AM5" s="52"/>
      <c r="AN5" s="51"/>
      <c r="AO5" s="52"/>
      <c r="AP5" s="52"/>
      <c r="AQ5" s="52"/>
      <c r="AR5" s="52"/>
      <c r="AS5" s="52"/>
      <c r="AT5" s="52"/>
      <c r="AU5" s="52"/>
      <c r="AV5" s="52"/>
      <c r="AW5" s="52"/>
      <c r="AX5" s="52"/>
      <c r="AY5" s="52"/>
      <c r="AZ5" s="52"/>
      <c r="BA5" s="51"/>
      <c r="BB5" s="52"/>
      <c r="BC5" s="52"/>
      <c r="BD5" s="52"/>
      <c r="BE5" s="52"/>
      <c r="BF5" s="52"/>
      <c r="BG5" s="52"/>
      <c r="BH5" s="52"/>
      <c r="BI5" s="52"/>
      <c r="BJ5" s="52"/>
      <c r="BK5" s="52"/>
      <c r="BL5" s="52"/>
      <c r="BM5" s="52"/>
    </row>
    <row r="6" spans="1:78" ht="14">
      <c r="B6" s="60" t="s">
        <v>105</v>
      </c>
      <c r="C6" s="214">
        <f t="shared" ref="C6:R6" si="3">C23*CH4GWP*10^-6</f>
        <v>0.35892240005184967</v>
      </c>
      <c r="D6" s="214">
        <f t="shared" si="3"/>
        <v>0.3400121540933615</v>
      </c>
      <c r="E6" s="214">
        <f t="shared" si="3"/>
        <v>0.3486530489483945</v>
      </c>
      <c r="F6" s="214">
        <f t="shared" si="3"/>
        <v>0.32578711282859368</v>
      </c>
      <c r="G6" s="214">
        <f t="shared" si="3"/>
        <v>0.32789640976302947</v>
      </c>
      <c r="H6" s="214">
        <f t="shared" si="3"/>
        <v>0.31287422859276032</v>
      </c>
      <c r="I6" s="214">
        <f t="shared" si="3"/>
        <v>0.30818916104608912</v>
      </c>
      <c r="J6" s="214">
        <f t="shared" si="3"/>
        <v>0.31350986177544915</v>
      </c>
      <c r="K6" s="214">
        <f t="shared" si="3"/>
        <v>0.27037398127290246</v>
      </c>
      <c r="L6" s="214">
        <f t="shared" si="3"/>
        <v>0.24655221672969968</v>
      </c>
      <c r="M6" s="214">
        <f t="shared" si="3"/>
        <v>0.24853551501153601</v>
      </c>
      <c r="N6" s="214">
        <f t="shared" si="3"/>
        <v>0.20402049341067766</v>
      </c>
      <c r="O6" s="214">
        <f t="shared" si="3"/>
        <v>0.22527493418526226</v>
      </c>
      <c r="P6" s="214">
        <f t="shared" si="3"/>
        <v>0.24242562748372706</v>
      </c>
      <c r="Q6" s="214">
        <f t="shared" si="3"/>
        <v>0.23447501438614748</v>
      </c>
      <c r="R6" s="214">
        <f t="shared" si="3"/>
        <v>0.21267754402878292</v>
      </c>
      <c r="S6" s="214">
        <f t="shared" ref="S6:AG6" si="4">S23*CH4GWP*10^-6</f>
        <v>0.23166663815843599</v>
      </c>
      <c r="T6" s="214">
        <f t="shared" si="4"/>
        <v>0.21428812073685261</v>
      </c>
      <c r="U6" s="214">
        <f t="shared" si="4"/>
        <v>0.2122901850158769</v>
      </c>
      <c r="V6" s="214">
        <f t="shared" si="4"/>
        <v>0.1858699248835731</v>
      </c>
      <c r="W6" s="214">
        <f t="shared" si="4"/>
        <v>0.17734196786402689</v>
      </c>
      <c r="X6" s="214">
        <f t="shared" si="4"/>
        <v>0.17323504814656562</v>
      </c>
      <c r="Y6" s="214">
        <f t="shared" si="4"/>
        <v>0.15712221452846623</v>
      </c>
      <c r="Z6" s="214">
        <f t="shared" si="4"/>
        <v>0.14872467796110725</v>
      </c>
      <c r="AA6" s="214">
        <f t="shared" si="4"/>
        <v>0.13280634601857866</v>
      </c>
      <c r="AB6" s="214">
        <f t="shared" si="4"/>
        <v>0.12271689749261666</v>
      </c>
      <c r="AC6" s="214">
        <f t="shared" si="4"/>
        <v>0.10629371476491573</v>
      </c>
      <c r="AD6" s="214">
        <f t="shared" si="4"/>
        <v>0.10643338548441959</v>
      </c>
      <c r="AE6" s="214">
        <f t="shared" si="4"/>
        <v>8.7534809050061044E-2</v>
      </c>
      <c r="AF6" s="214">
        <f t="shared" si="4"/>
        <v>7.9752825890992779E-2</v>
      </c>
      <c r="AG6" s="214">
        <f t="shared" si="4"/>
        <v>7.5464738572874793E-2</v>
      </c>
      <c r="AH6" s="214">
        <f t="shared" ref="AH6:AL6" si="5">AH23*CH4GWP*10^-6</f>
        <v>0</v>
      </c>
      <c r="AI6" s="214">
        <f t="shared" si="5"/>
        <v>0</v>
      </c>
      <c r="AJ6" s="214">
        <f t="shared" si="5"/>
        <v>0</v>
      </c>
      <c r="AK6" s="214">
        <f t="shared" si="5"/>
        <v>0</v>
      </c>
      <c r="AL6" s="214">
        <f t="shared" si="5"/>
        <v>0</v>
      </c>
      <c r="AM6" s="52"/>
      <c r="AN6" s="51"/>
      <c r="AO6" s="52"/>
      <c r="AP6" s="52"/>
      <c r="AQ6" s="52"/>
      <c r="AR6" s="52"/>
      <c r="AS6" s="52"/>
      <c r="AT6" s="52"/>
      <c r="AU6" s="52"/>
      <c r="AV6" s="52"/>
      <c r="AW6" s="52"/>
      <c r="AX6" s="52"/>
      <c r="AY6" s="52"/>
      <c r="AZ6" s="52"/>
      <c r="BA6" s="51"/>
      <c r="BB6" s="52"/>
      <c r="BC6" s="52"/>
      <c r="BD6" s="52"/>
      <c r="BE6" s="52"/>
      <c r="BF6" s="52"/>
      <c r="BG6" s="52"/>
      <c r="BH6" s="52"/>
      <c r="BI6" s="52"/>
      <c r="BJ6" s="52"/>
      <c r="BK6" s="52"/>
      <c r="BL6" s="52"/>
      <c r="BM6" s="52"/>
    </row>
    <row r="7" spans="1:78" ht="14.5" thickBot="1">
      <c r="B7" s="120" t="s">
        <v>102</v>
      </c>
      <c r="C7" s="357"/>
      <c r="D7" s="357"/>
      <c r="E7" s="357"/>
      <c r="F7" s="357"/>
      <c r="G7" s="357"/>
      <c r="H7" s="357"/>
      <c r="I7" s="357"/>
      <c r="J7" s="357"/>
      <c r="K7" s="357"/>
      <c r="L7" s="357"/>
      <c r="M7" s="357"/>
      <c r="N7" s="357"/>
      <c r="O7" s="357"/>
      <c r="P7" s="357"/>
      <c r="Q7" s="357"/>
      <c r="R7" s="357"/>
      <c r="S7" s="357"/>
      <c r="T7" s="357"/>
      <c r="U7" s="357"/>
      <c r="V7" s="357"/>
      <c r="W7" s="357"/>
      <c r="X7" s="357"/>
      <c r="Y7" s="357"/>
      <c r="Z7" s="357"/>
      <c r="AA7" s="357"/>
      <c r="AB7" s="357"/>
      <c r="AC7" s="357"/>
      <c r="AD7" s="357"/>
      <c r="AE7" s="357"/>
      <c r="AF7" s="357"/>
      <c r="AG7" s="357"/>
      <c r="AH7" s="357"/>
      <c r="AI7" s="357"/>
      <c r="AJ7" s="357"/>
      <c r="AK7" s="357"/>
      <c r="AL7" s="357"/>
      <c r="AM7" s="52"/>
      <c r="AN7" s="51"/>
      <c r="AO7" s="52"/>
      <c r="AP7" s="52"/>
      <c r="AQ7" s="52"/>
      <c r="AR7" s="52"/>
      <c r="AS7" s="52"/>
      <c r="AT7" s="52"/>
      <c r="AU7" s="52"/>
      <c r="AV7" s="52"/>
      <c r="AW7" s="52"/>
      <c r="AX7" s="52"/>
      <c r="AY7" s="52"/>
      <c r="AZ7" s="52"/>
      <c r="BA7" s="51"/>
      <c r="BB7" s="52"/>
      <c r="BC7" s="52"/>
      <c r="BD7" s="52"/>
      <c r="BE7" s="52"/>
      <c r="BF7" s="52"/>
      <c r="BG7" s="52"/>
      <c r="BH7" s="52"/>
      <c r="BI7" s="52"/>
      <c r="BJ7" s="52"/>
      <c r="BK7" s="52"/>
      <c r="BL7" s="52"/>
      <c r="BM7" s="52"/>
    </row>
    <row r="8" spans="1:78" ht="14.5" thickBot="1">
      <c r="B8" s="237" t="s">
        <v>90</v>
      </c>
      <c r="C8" s="252">
        <f>C6+C5+C7</f>
        <v>0.39899376005184967</v>
      </c>
      <c r="D8" s="252">
        <f t="shared" ref="D8:AG8" si="6">D6+D5+D7</f>
        <v>0.3819970340933615</v>
      </c>
      <c r="E8" s="252">
        <f t="shared" si="6"/>
        <v>0.39175792894839451</v>
      </c>
      <c r="F8" s="252">
        <f t="shared" si="6"/>
        <v>0.3692305128285937</v>
      </c>
      <c r="G8" s="252">
        <f t="shared" si="6"/>
        <v>0.37212240976302946</v>
      </c>
      <c r="H8" s="252">
        <f t="shared" si="6"/>
        <v>0.3551631885927603</v>
      </c>
      <c r="I8" s="252">
        <f t="shared" si="6"/>
        <v>0.35045796104608912</v>
      </c>
      <c r="J8" s="252">
        <f t="shared" si="6"/>
        <v>0.35569466177544917</v>
      </c>
      <c r="K8" s="252">
        <f t="shared" si="6"/>
        <v>0.29145658127290247</v>
      </c>
      <c r="L8" s="252">
        <f t="shared" si="6"/>
        <v>0.28090821672969968</v>
      </c>
      <c r="M8" s="252">
        <f t="shared" si="6"/>
        <v>0.28052271501153603</v>
      </c>
      <c r="N8" s="252">
        <f t="shared" si="6"/>
        <v>0.23829249341067765</v>
      </c>
      <c r="O8" s="252">
        <f t="shared" si="6"/>
        <v>0.25104193418526227</v>
      </c>
      <c r="P8" s="252">
        <f t="shared" si="6"/>
        <v>0.26997762748372706</v>
      </c>
      <c r="Q8" s="252">
        <f t="shared" si="6"/>
        <v>0.26336009438614749</v>
      </c>
      <c r="R8" s="252">
        <f t="shared" si="6"/>
        <v>0.24895434402878291</v>
      </c>
      <c r="S8" s="252">
        <f t="shared" si="6"/>
        <v>0.26794343815843596</v>
      </c>
      <c r="T8" s="252">
        <f t="shared" si="6"/>
        <v>0.21922452073685261</v>
      </c>
      <c r="U8" s="252">
        <f t="shared" si="6"/>
        <v>0.21745618501587691</v>
      </c>
      <c r="V8" s="252">
        <f t="shared" si="6"/>
        <v>0.19172472488357309</v>
      </c>
      <c r="W8" s="252">
        <f t="shared" si="6"/>
        <v>4.0246750898860917</v>
      </c>
      <c r="X8" s="252">
        <f t="shared" si="6"/>
        <v>4.025256043012452</v>
      </c>
      <c r="Y8" s="252">
        <f t="shared" si="6"/>
        <v>3.9870156998712174</v>
      </c>
      <c r="Z8" s="252">
        <f t="shared" si="6"/>
        <v>3.9745510157782333</v>
      </c>
      <c r="AA8" s="252">
        <f t="shared" si="6"/>
        <v>3.9666084781963558</v>
      </c>
      <c r="AB8" s="252">
        <f t="shared" si="6"/>
        <v>3.9256958769467443</v>
      </c>
      <c r="AC8" s="252">
        <f t="shared" si="6"/>
        <v>3.9043292322308569</v>
      </c>
      <c r="AD8" s="252">
        <f t="shared" si="6"/>
        <v>3.9077879964245814</v>
      </c>
      <c r="AE8" s="252">
        <f t="shared" si="6"/>
        <v>3.8706345923295151</v>
      </c>
      <c r="AF8" s="252">
        <f t="shared" si="6"/>
        <v>3.898865871852609</v>
      </c>
      <c r="AG8" s="252">
        <f t="shared" si="6"/>
        <v>3.8961344544001206</v>
      </c>
      <c r="AH8" s="252">
        <f t="shared" ref="AH8:AL8" si="7">AH6+AH5+AH7</f>
        <v>3.8152114226839777</v>
      </c>
      <c r="AI8" s="252">
        <f t="shared" si="7"/>
        <v>3.8164075844402912</v>
      </c>
      <c r="AJ8" s="252">
        <f t="shared" si="7"/>
        <v>0</v>
      </c>
      <c r="AK8" s="252">
        <f t="shared" si="7"/>
        <v>0</v>
      </c>
      <c r="AL8" s="252">
        <f t="shared" si="7"/>
        <v>0</v>
      </c>
      <c r="AM8" s="52"/>
      <c r="AN8" s="51"/>
      <c r="AO8" s="52"/>
      <c r="AP8" s="52"/>
      <c r="AQ8" s="52"/>
      <c r="AR8" s="52"/>
      <c r="AS8" s="52"/>
      <c r="AT8" s="52"/>
      <c r="AU8" s="52"/>
      <c r="AV8" s="52"/>
      <c r="AW8" s="52"/>
      <c r="AX8" s="52"/>
      <c r="AY8" s="52"/>
      <c r="AZ8" s="52"/>
      <c r="BA8" s="51"/>
      <c r="BB8" s="52"/>
      <c r="BC8" s="52"/>
      <c r="BD8" s="52"/>
      <c r="BE8" s="52"/>
      <c r="BF8" s="52"/>
      <c r="BG8" s="52"/>
      <c r="BH8" s="52"/>
      <c r="BI8" s="52"/>
      <c r="BJ8" s="52"/>
      <c r="BK8" s="52"/>
      <c r="BL8" s="52"/>
      <c r="BM8" s="52"/>
    </row>
    <row r="9" spans="1:78" ht="21.5">
      <c r="A9" s="49"/>
      <c r="B9" s="54"/>
      <c r="C9" s="54"/>
      <c r="D9" s="54"/>
      <c r="E9" s="54"/>
      <c r="F9" s="54"/>
      <c r="G9" s="54"/>
      <c r="H9" s="54"/>
      <c r="I9" s="54"/>
      <c r="J9" s="54"/>
      <c r="K9" s="54"/>
      <c r="L9" s="54"/>
      <c r="M9" s="54"/>
      <c r="N9" s="253"/>
      <c r="O9" s="253"/>
      <c r="P9" s="66"/>
      <c r="Q9" s="55"/>
      <c r="R9" s="254"/>
      <c r="S9" s="55"/>
      <c r="T9" s="254"/>
      <c r="U9" s="55"/>
      <c r="V9" s="254"/>
      <c r="W9" s="55"/>
      <c r="X9" s="254"/>
      <c r="Y9" s="55"/>
      <c r="Z9" s="254"/>
      <c r="AA9" s="55"/>
      <c r="AB9" s="254"/>
      <c r="AC9" s="55"/>
      <c r="AD9" s="254"/>
      <c r="AE9" s="55"/>
      <c r="AF9" s="254"/>
      <c r="AG9" s="55"/>
      <c r="AH9" s="55"/>
      <c r="AI9" s="55"/>
      <c r="AJ9" s="55"/>
      <c r="AK9" s="55"/>
      <c r="AL9" s="55"/>
      <c r="AM9" s="52"/>
      <c r="AN9" s="52"/>
      <c r="AO9" s="52"/>
      <c r="AP9" s="52"/>
      <c r="AQ9" s="52"/>
      <c r="AR9" s="52"/>
      <c r="AS9" s="52"/>
      <c r="AT9" s="52"/>
      <c r="AU9" s="51"/>
      <c r="AV9" s="52"/>
      <c r="AW9" s="52"/>
      <c r="AX9" s="52"/>
      <c r="AY9" s="52"/>
      <c r="AZ9" s="52"/>
      <c r="BA9" s="52"/>
      <c r="BB9" s="52"/>
      <c r="BC9" s="52"/>
      <c r="BD9" s="52"/>
      <c r="BE9" s="52"/>
      <c r="BF9" s="52"/>
      <c r="BG9" s="52"/>
      <c r="BI9" s="55"/>
      <c r="BJ9" s="52"/>
      <c r="BK9" s="52"/>
      <c r="BL9" s="52"/>
      <c r="BM9" s="52"/>
      <c r="BN9" s="52"/>
      <c r="BO9" s="52"/>
      <c r="BP9" s="52"/>
      <c r="BQ9" s="52"/>
      <c r="BR9" s="52"/>
      <c r="BS9" s="52"/>
      <c r="BT9" s="52"/>
    </row>
    <row r="10" spans="1:78" ht="16" hidden="1" thickBot="1">
      <c r="B10" s="56" t="s">
        <v>106</v>
      </c>
      <c r="C10" s="255"/>
      <c r="D10" s="255"/>
      <c r="E10" s="255"/>
      <c r="F10" s="255"/>
      <c r="G10" s="255"/>
      <c r="H10" s="255"/>
      <c r="I10" s="255"/>
      <c r="J10" s="255"/>
      <c r="K10" s="255"/>
      <c r="L10" s="255"/>
      <c r="M10" s="255"/>
      <c r="N10" s="255"/>
      <c r="O10" s="255"/>
      <c r="P10" s="255"/>
      <c r="Q10" s="255"/>
      <c r="R10" s="255"/>
      <c r="S10" s="255"/>
      <c r="T10" s="255"/>
      <c r="U10" s="255"/>
      <c r="V10" s="255"/>
      <c r="W10" s="255"/>
      <c r="X10" s="255"/>
      <c r="Y10" s="255"/>
      <c r="Z10" s="255"/>
      <c r="AA10" s="255"/>
      <c r="AB10" s="255"/>
      <c r="AC10" s="255"/>
      <c r="AD10" s="255"/>
      <c r="AE10" s="255"/>
      <c r="AF10" s="255"/>
      <c r="AG10" s="255"/>
      <c r="AH10" s="255"/>
      <c r="AI10" s="255"/>
      <c r="AJ10" s="255"/>
      <c r="AK10" s="255"/>
      <c r="AL10" s="255"/>
      <c r="AM10" s="52"/>
      <c r="AN10" s="52"/>
      <c r="AO10" s="52"/>
      <c r="AP10" s="52"/>
      <c r="AQ10" s="52"/>
      <c r="AR10" s="52"/>
      <c r="AS10" s="52"/>
      <c r="AT10" s="52"/>
      <c r="AU10" s="51"/>
      <c r="AV10" s="52"/>
      <c r="AW10" s="52"/>
      <c r="AX10" s="52"/>
      <c r="AY10" s="52"/>
      <c r="AZ10" s="52"/>
      <c r="BA10" s="52"/>
      <c r="BB10" s="52"/>
      <c r="BC10" s="52"/>
      <c r="BD10" s="52"/>
      <c r="BE10" s="52"/>
      <c r="BF10" s="52"/>
      <c r="BG10" s="52"/>
      <c r="BI10" s="55"/>
      <c r="BJ10" s="52"/>
      <c r="BK10" s="52"/>
      <c r="BL10" s="52"/>
      <c r="BM10" s="52"/>
      <c r="BN10" s="52"/>
      <c r="BO10" s="52"/>
      <c r="BP10" s="52"/>
      <c r="BQ10" s="52"/>
      <c r="BR10" s="52"/>
      <c r="BS10" s="52"/>
      <c r="BT10" s="52"/>
    </row>
    <row r="11" spans="1:78" ht="14.5" hidden="1" thickBot="1">
      <c r="B11" s="58"/>
      <c r="C11" s="56">
        <v>1990</v>
      </c>
      <c r="D11" s="59">
        <v>1991</v>
      </c>
      <c r="E11" s="59">
        <v>1992</v>
      </c>
      <c r="F11" s="56">
        <v>1993</v>
      </c>
      <c r="G11" s="56">
        <v>1994</v>
      </c>
      <c r="H11" s="56">
        <v>1995</v>
      </c>
      <c r="I11" s="56">
        <v>1996</v>
      </c>
      <c r="J11" s="56">
        <v>1997</v>
      </c>
      <c r="K11" s="56">
        <v>1998</v>
      </c>
      <c r="L11" s="56">
        <v>1999</v>
      </c>
      <c r="M11" s="56">
        <v>2000</v>
      </c>
      <c r="N11" s="56">
        <v>2001</v>
      </c>
      <c r="O11" s="56">
        <v>2002</v>
      </c>
      <c r="P11" s="56">
        <v>2003</v>
      </c>
      <c r="Q11" s="56">
        <v>2004</v>
      </c>
      <c r="R11" s="56">
        <v>2005</v>
      </c>
      <c r="S11" s="56">
        <v>2006</v>
      </c>
      <c r="T11" s="56">
        <v>2007</v>
      </c>
      <c r="U11" s="56">
        <v>2008</v>
      </c>
      <c r="V11" s="56">
        <v>2009</v>
      </c>
      <c r="W11" s="56">
        <v>2010</v>
      </c>
      <c r="X11" s="56">
        <v>2011</v>
      </c>
      <c r="Y11" s="56">
        <v>2012</v>
      </c>
      <c r="Z11" s="56">
        <v>2013</v>
      </c>
      <c r="AA11" s="56">
        <v>2014</v>
      </c>
      <c r="AB11" s="56">
        <v>2015</v>
      </c>
      <c r="AC11" s="56">
        <v>2016</v>
      </c>
      <c r="AD11" s="56">
        <v>2017</v>
      </c>
      <c r="AE11" s="56">
        <v>2018</v>
      </c>
      <c r="AF11" s="56">
        <v>2019</v>
      </c>
      <c r="AG11" s="56">
        <v>2020</v>
      </c>
      <c r="AH11" s="56">
        <v>2021</v>
      </c>
      <c r="AI11" s="56">
        <v>2022</v>
      </c>
      <c r="AJ11" s="56">
        <v>2023</v>
      </c>
      <c r="AK11" s="56">
        <v>2024</v>
      </c>
      <c r="AL11" s="56">
        <v>2025</v>
      </c>
      <c r="AM11" s="52"/>
      <c r="AN11" s="51"/>
      <c r="AO11" s="52"/>
      <c r="AP11" s="52"/>
      <c r="AQ11" s="52"/>
      <c r="AR11" s="52"/>
      <c r="AS11" s="52"/>
      <c r="AT11" s="52"/>
      <c r="AU11" s="52"/>
      <c r="AV11" s="52"/>
      <c r="AW11" s="52"/>
      <c r="AX11" s="52"/>
      <c r="AY11" s="52"/>
      <c r="AZ11" s="52"/>
      <c r="BA11" s="51"/>
      <c r="BB11" s="52"/>
      <c r="BC11" s="52"/>
      <c r="BD11" s="52"/>
      <c r="BE11" s="52"/>
      <c r="BF11" s="52"/>
      <c r="BG11" s="52"/>
      <c r="BH11" s="52"/>
      <c r="BI11" s="52"/>
      <c r="BJ11" s="52"/>
      <c r="BK11" s="52"/>
      <c r="BL11" s="52"/>
      <c r="BM11" s="52"/>
      <c r="BO11" s="55"/>
      <c r="BP11" s="52"/>
      <c r="BQ11" s="52"/>
      <c r="BR11" s="52"/>
      <c r="BS11" s="52"/>
      <c r="BT11" s="52"/>
      <c r="BU11" s="52"/>
      <c r="BV11" s="52"/>
      <c r="BW11" s="52"/>
      <c r="BX11" s="52"/>
      <c r="BY11" s="52"/>
      <c r="BZ11" s="52"/>
    </row>
    <row r="12" spans="1:78" ht="14" hidden="1">
      <c r="B12" s="60" t="s">
        <v>23</v>
      </c>
      <c r="C12" s="214">
        <f t="shared" ref="C12:AG12" si="8">C5*C_CO2</f>
        <v>1.0928552727272726E-2</v>
      </c>
      <c r="D12" s="214">
        <f t="shared" si="8"/>
        <v>1.1450421818181816E-2</v>
      </c>
      <c r="E12" s="214">
        <f t="shared" si="8"/>
        <v>1.1755876363636364E-2</v>
      </c>
      <c r="F12" s="214">
        <f t="shared" si="8"/>
        <v>1.1848200000000001E-2</v>
      </c>
      <c r="G12" s="214">
        <f t="shared" si="8"/>
        <v>1.2061636363636363E-2</v>
      </c>
      <c r="H12" s="214">
        <f t="shared" si="8"/>
        <v>1.1533352727272727E-2</v>
      </c>
      <c r="I12" s="214">
        <f t="shared" si="8"/>
        <v>1.1527854545454545E-2</v>
      </c>
      <c r="J12" s="214">
        <f t="shared" si="8"/>
        <v>1.1504945454545452E-2</v>
      </c>
      <c r="K12" s="214">
        <f t="shared" si="8"/>
        <v>5.7497999999999994E-3</v>
      </c>
      <c r="L12" s="214">
        <f t="shared" si="8"/>
        <v>9.3698181818181805E-3</v>
      </c>
      <c r="M12" s="214">
        <f t="shared" si="8"/>
        <v>8.7237818181818173E-3</v>
      </c>
      <c r="N12" s="214">
        <f t="shared" si="8"/>
        <v>9.3469090909090898E-3</v>
      </c>
      <c r="O12" s="214">
        <f t="shared" si="8"/>
        <v>7.0273636363636354E-3</v>
      </c>
      <c r="P12" s="214">
        <f t="shared" si="8"/>
        <v>7.5141818181818166E-3</v>
      </c>
      <c r="Q12" s="214">
        <f t="shared" si="8"/>
        <v>7.8777490909090909E-3</v>
      </c>
      <c r="R12" s="214">
        <f t="shared" si="8"/>
        <v>9.8936727272727239E-3</v>
      </c>
      <c r="S12" s="214">
        <f t="shared" si="8"/>
        <v>9.8936727272727239E-3</v>
      </c>
      <c r="T12" s="214">
        <f t="shared" si="8"/>
        <v>1.3462909090909089E-3</v>
      </c>
      <c r="U12" s="214">
        <f t="shared" si="8"/>
        <v>1.4089090909090904E-3</v>
      </c>
      <c r="V12" s="214">
        <f t="shared" si="8"/>
        <v>1.5967636363636362E-3</v>
      </c>
      <c r="W12" s="214">
        <f t="shared" si="8"/>
        <v>1.0492726696423813</v>
      </c>
      <c r="X12" s="214">
        <f t="shared" si="8"/>
        <v>1.0505511804179688</v>
      </c>
      <c r="Y12" s="214">
        <f t="shared" si="8"/>
        <v>1.0445164050934774</v>
      </c>
      <c r="Z12" s="214">
        <f t="shared" si="8"/>
        <v>1.0434071830410343</v>
      </c>
      <c r="AA12" s="214">
        <f t="shared" si="8"/>
        <v>1.0455823996848481</v>
      </c>
      <c r="AB12" s="214">
        <f t="shared" si="8"/>
        <v>1.0371760853056711</v>
      </c>
      <c r="AC12" s="214">
        <f t="shared" si="8"/>
        <v>1.0358278683998021</v>
      </c>
      <c r="AD12" s="214">
        <f t="shared" si="8"/>
        <v>1.0367330757109532</v>
      </c>
      <c r="AE12" s="214">
        <f t="shared" si="8"/>
        <v>1.0317544863489421</v>
      </c>
      <c r="AF12" s="214">
        <f t="shared" si="8"/>
        <v>1.0415762852622588</v>
      </c>
      <c r="AG12" s="214">
        <f t="shared" si="8"/>
        <v>1.0420008315892488</v>
      </c>
      <c r="AH12" s="214">
        <f t="shared" ref="AH12:AL12" si="9">AH5*C_CO2</f>
        <v>1.0405122061865393</v>
      </c>
      <c r="AI12" s="214">
        <f t="shared" si="9"/>
        <v>1.0408384321200794</v>
      </c>
      <c r="AJ12" s="214">
        <f t="shared" si="9"/>
        <v>0</v>
      </c>
      <c r="AK12" s="214">
        <f t="shared" si="9"/>
        <v>0</v>
      </c>
      <c r="AL12" s="214">
        <f t="shared" si="9"/>
        <v>0</v>
      </c>
      <c r="AM12" s="52"/>
      <c r="AN12" s="51"/>
      <c r="AO12" s="52"/>
      <c r="AP12" s="52"/>
      <c r="AQ12" s="52"/>
      <c r="AR12" s="52"/>
      <c r="AS12" s="52"/>
      <c r="AT12" s="52"/>
      <c r="AU12" s="52"/>
      <c r="AV12" s="52"/>
      <c r="AW12" s="52"/>
      <c r="AX12" s="52"/>
      <c r="AY12" s="52"/>
      <c r="AZ12" s="52"/>
      <c r="BA12" s="51"/>
      <c r="BB12" s="52"/>
      <c r="BC12" s="52"/>
      <c r="BD12" s="52"/>
      <c r="BE12" s="52"/>
      <c r="BF12" s="52"/>
      <c r="BG12" s="52"/>
      <c r="BH12" s="52"/>
      <c r="BI12" s="52"/>
      <c r="BJ12" s="52"/>
      <c r="BK12" s="52"/>
      <c r="BL12" s="52"/>
      <c r="BM12" s="52"/>
      <c r="BO12" s="55"/>
      <c r="BP12" s="52"/>
      <c r="BQ12" s="52"/>
      <c r="BR12" s="52"/>
      <c r="BS12" s="52"/>
      <c r="BT12" s="52"/>
      <c r="BU12" s="52"/>
      <c r="BV12" s="52"/>
      <c r="BW12" s="52"/>
      <c r="BX12" s="52"/>
      <c r="BY12" s="52"/>
      <c r="BZ12" s="52"/>
    </row>
    <row r="13" spans="1:78" ht="14" hidden="1">
      <c r="B13" s="60" t="s">
        <v>105</v>
      </c>
      <c r="C13" s="214">
        <f t="shared" ref="C13:AG13" si="10">C6*C_CO2</f>
        <v>9.7887927286868084E-2</v>
      </c>
      <c r="D13" s="214">
        <f t="shared" si="10"/>
        <v>9.2730587480007676E-2</v>
      </c>
      <c r="E13" s="214">
        <f t="shared" si="10"/>
        <v>9.5087195167743943E-2</v>
      </c>
      <c r="F13" s="214">
        <f t="shared" si="10"/>
        <v>8.8851030771434636E-2</v>
      </c>
      <c r="G13" s="214">
        <f t="shared" si="10"/>
        <v>8.9426293571735302E-2</v>
      </c>
      <c r="H13" s="214">
        <f t="shared" si="10"/>
        <v>8.5329335070752813E-2</v>
      </c>
      <c r="I13" s="214">
        <f t="shared" si="10"/>
        <v>8.4051589376206118E-2</v>
      </c>
      <c r="J13" s="214">
        <f t="shared" si="10"/>
        <v>8.5502689575122484E-2</v>
      </c>
      <c r="K13" s="214">
        <f t="shared" si="10"/>
        <v>7.3738358528973397E-2</v>
      </c>
      <c r="L13" s="214">
        <f t="shared" si="10"/>
        <v>6.7241513653554449E-2</v>
      </c>
      <c r="M13" s="214">
        <f t="shared" si="10"/>
        <v>6.7782413184964363E-2</v>
      </c>
      <c r="N13" s="214">
        <f t="shared" si="10"/>
        <v>5.5641952748366627E-2</v>
      </c>
      <c r="O13" s="214">
        <f t="shared" si="10"/>
        <v>6.1438618414162427E-2</v>
      </c>
      <c r="P13" s="214">
        <f t="shared" si="10"/>
        <v>6.6116080222834647E-2</v>
      </c>
      <c r="Q13" s="214">
        <f t="shared" si="10"/>
        <v>6.3947731196222032E-2</v>
      </c>
      <c r="R13" s="214">
        <f t="shared" si="10"/>
        <v>5.8002966553304426E-2</v>
      </c>
      <c r="S13" s="214">
        <f t="shared" si="10"/>
        <v>6.3181810406846173E-2</v>
      </c>
      <c r="T13" s="214">
        <f t="shared" si="10"/>
        <v>5.8442214746414339E-2</v>
      </c>
      <c r="U13" s="214">
        <f t="shared" si="10"/>
        <v>5.7897323186148243E-2</v>
      </c>
      <c r="V13" s="214">
        <f t="shared" si="10"/>
        <v>5.069179769551993E-2</v>
      </c>
      <c r="W13" s="214">
        <f t="shared" si="10"/>
        <v>4.8365991235643696E-2</v>
      </c>
      <c r="X13" s="214">
        <f t="shared" si="10"/>
        <v>4.7245922221790623E-2</v>
      </c>
      <c r="Y13" s="214">
        <f t="shared" si="10"/>
        <v>4.2851513053218056E-2</v>
      </c>
      <c r="Z13" s="214">
        <f t="shared" si="10"/>
        <v>4.0561275807574702E-2</v>
      </c>
      <c r="AA13" s="214">
        <f t="shared" si="10"/>
        <v>3.6219912550521448E-2</v>
      </c>
      <c r="AB13" s="214">
        <f t="shared" si="10"/>
        <v>3.3468244770713633E-2</v>
      </c>
      <c r="AC13" s="214">
        <f t="shared" si="10"/>
        <v>2.8989194935886104E-2</v>
      </c>
      <c r="AD13" s="214">
        <f t="shared" si="10"/>
        <v>2.9027286950296251E-2</v>
      </c>
      <c r="AE13" s="214">
        <f t="shared" si="10"/>
        <v>2.3873129740925737E-2</v>
      </c>
      <c r="AF13" s="214">
        <f t="shared" si="10"/>
        <v>2.1750770697543484E-2</v>
      </c>
      <c r="AG13" s="214">
        <f t="shared" si="10"/>
        <v>2.0581292338056761E-2</v>
      </c>
      <c r="AH13" s="214">
        <f t="shared" ref="AH13:AL13" si="11">AH6*C_CO2</f>
        <v>0</v>
      </c>
      <c r="AI13" s="214">
        <f t="shared" si="11"/>
        <v>0</v>
      </c>
      <c r="AJ13" s="214">
        <f t="shared" si="11"/>
        <v>0</v>
      </c>
      <c r="AK13" s="214">
        <f t="shared" si="11"/>
        <v>0</v>
      </c>
      <c r="AL13" s="214">
        <f t="shared" si="11"/>
        <v>0</v>
      </c>
      <c r="AM13" s="52"/>
      <c r="AN13" s="51"/>
      <c r="AO13" s="52"/>
      <c r="AP13" s="52"/>
      <c r="AQ13" s="52"/>
      <c r="AR13" s="52"/>
      <c r="AS13" s="52"/>
      <c r="AT13" s="52"/>
      <c r="AU13" s="52"/>
      <c r="AV13" s="52"/>
      <c r="AW13" s="52"/>
      <c r="AX13" s="52"/>
      <c r="AY13" s="52"/>
      <c r="AZ13" s="52"/>
      <c r="BA13" s="51"/>
      <c r="BB13" s="52"/>
      <c r="BC13" s="52"/>
      <c r="BD13" s="52"/>
      <c r="BE13" s="52"/>
      <c r="BF13" s="52"/>
      <c r="BG13" s="52"/>
      <c r="BH13" s="52"/>
      <c r="BI13" s="52"/>
      <c r="BJ13" s="52"/>
      <c r="BK13" s="52"/>
      <c r="BL13" s="52"/>
      <c r="BM13" s="52"/>
    </row>
    <row r="14" spans="1:78" ht="14.5" hidden="1" thickBot="1">
      <c r="B14" s="120" t="s">
        <v>90</v>
      </c>
      <c r="C14" s="256">
        <f>C13+C12</f>
        <v>0.10881648001414081</v>
      </c>
      <c r="D14" s="256">
        <f t="shared" ref="D14:L14" si="12">D13+D12</f>
        <v>0.10418100929818949</v>
      </c>
      <c r="E14" s="256">
        <f t="shared" si="12"/>
        <v>0.10684307153138031</v>
      </c>
      <c r="F14" s="256">
        <f t="shared" si="12"/>
        <v>0.10069923077143464</v>
      </c>
      <c r="G14" s="256">
        <f t="shared" si="12"/>
        <v>0.10148792993537166</v>
      </c>
      <c r="H14" s="256">
        <f t="shared" si="12"/>
        <v>9.6862687798025537E-2</v>
      </c>
      <c r="I14" s="256">
        <f t="shared" si="12"/>
        <v>9.5579443921660664E-2</v>
      </c>
      <c r="J14" s="256">
        <f t="shared" si="12"/>
        <v>9.7007635029667943E-2</v>
      </c>
      <c r="K14" s="256">
        <f t="shared" si="12"/>
        <v>7.9488158528973396E-2</v>
      </c>
      <c r="L14" s="256">
        <f t="shared" si="12"/>
        <v>7.6611331835372637E-2</v>
      </c>
      <c r="M14" s="256">
        <f t="shared" ref="M14:R14" si="13">M13+M12</f>
        <v>7.6506195003146177E-2</v>
      </c>
      <c r="N14" s="256">
        <f t="shared" si="13"/>
        <v>6.4988861839275713E-2</v>
      </c>
      <c r="O14" s="256">
        <f t="shared" si="13"/>
        <v>6.8465982050526064E-2</v>
      </c>
      <c r="P14" s="256">
        <f t="shared" si="13"/>
        <v>7.363026204101647E-2</v>
      </c>
      <c r="Q14" s="256">
        <f t="shared" si="13"/>
        <v>7.1825480287131122E-2</v>
      </c>
      <c r="R14" s="256">
        <f t="shared" si="13"/>
        <v>6.7896639280577153E-2</v>
      </c>
      <c r="S14" s="256">
        <f t="shared" ref="S14:AG14" si="14">S13+S12</f>
        <v>7.3075483134118893E-2</v>
      </c>
      <c r="T14" s="256">
        <f t="shared" si="14"/>
        <v>5.9788505655505246E-2</v>
      </c>
      <c r="U14" s="256">
        <f t="shared" si="14"/>
        <v>5.9306232277057336E-2</v>
      </c>
      <c r="V14" s="256">
        <f t="shared" si="14"/>
        <v>5.2288561331883567E-2</v>
      </c>
      <c r="W14" s="256">
        <f t="shared" si="14"/>
        <v>1.0976386608780251</v>
      </c>
      <c r="X14" s="256">
        <f t="shared" si="14"/>
        <v>1.0977971026397595</v>
      </c>
      <c r="Y14" s="256">
        <f t="shared" si="14"/>
        <v>1.0873679181466955</v>
      </c>
      <c r="Z14" s="256">
        <f t="shared" si="14"/>
        <v>1.0839684588486089</v>
      </c>
      <c r="AA14" s="256">
        <f t="shared" si="14"/>
        <v>1.0818023122353695</v>
      </c>
      <c r="AB14" s="256">
        <f t="shared" si="14"/>
        <v>1.0706443300763846</v>
      </c>
      <c r="AC14" s="256">
        <f t="shared" si="14"/>
        <v>1.0648170633356882</v>
      </c>
      <c r="AD14" s="256">
        <f t="shared" si="14"/>
        <v>1.0657603626612495</v>
      </c>
      <c r="AE14" s="256">
        <f t="shared" si="14"/>
        <v>1.0556276160898679</v>
      </c>
      <c r="AF14" s="256">
        <f t="shared" si="14"/>
        <v>1.0633270559598023</v>
      </c>
      <c r="AG14" s="256">
        <f t="shared" si="14"/>
        <v>1.0625821239273057</v>
      </c>
      <c r="AH14" s="256">
        <f t="shared" ref="AH14:AL14" si="15">AH13+AH12</f>
        <v>1.0405122061865393</v>
      </c>
      <c r="AI14" s="256">
        <f t="shared" si="15"/>
        <v>1.0408384321200794</v>
      </c>
      <c r="AJ14" s="256">
        <f t="shared" si="15"/>
        <v>0</v>
      </c>
      <c r="AK14" s="256">
        <f t="shared" si="15"/>
        <v>0</v>
      </c>
      <c r="AL14" s="256">
        <f t="shared" si="15"/>
        <v>0</v>
      </c>
      <c r="AM14" s="52"/>
      <c r="AN14" s="51"/>
      <c r="AO14" s="52"/>
      <c r="AP14" s="52"/>
      <c r="AQ14" s="52"/>
      <c r="AR14" s="52"/>
      <c r="AS14" s="52"/>
      <c r="AT14" s="52"/>
      <c r="AU14" s="52"/>
      <c r="AV14" s="52"/>
      <c r="AW14" s="52"/>
      <c r="AX14" s="52"/>
      <c r="AY14" s="52"/>
      <c r="AZ14" s="52"/>
      <c r="BA14" s="51"/>
      <c r="BB14" s="52"/>
      <c r="BC14" s="52"/>
      <c r="BD14" s="52"/>
      <c r="BE14" s="52"/>
      <c r="BF14" s="52"/>
      <c r="BG14" s="52"/>
      <c r="BH14" s="52"/>
      <c r="BI14" s="52"/>
      <c r="BJ14" s="52"/>
      <c r="BK14" s="52"/>
      <c r="BL14" s="52"/>
      <c r="BM14" s="52"/>
    </row>
    <row r="15" spans="1:78" customFormat="1" hidden="1"/>
    <row r="16" spans="1:78" ht="15.5" hidden="1">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c r="AB16" s="253"/>
      <c r="AC16" s="253"/>
      <c r="AD16" s="253"/>
      <c r="AE16" s="253"/>
      <c r="AF16" s="253"/>
      <c r="AG16" s="253"/>
      <c r="AH16" s="253"/>
      <c r="AI16" s="253"/>
      <c r="AJ16" s="253"/>
      <c r="AK16" s="253"/>
      <c r="AL16" s="253"/>
    </row>
    <row r="17" spans="2:65" ht="14.5" thickBot="1">
      <c r="B17" s="56" t="s">
        <v>104</v>
      </c>
      <c r="C17" s="257"/>
      <c r="D17" s="257"/>
      <c r="E17" s="257"/>
      <c r="F17" s="257"/>
      <c r="G17" s="257"/>
      <c r="H17" s="257"/>
      <c r="I17" s="257"/>
      <c r="J17" s="257"/>
      <c r="K17" s="257"/>
      <c r="L17" s="257"/>
      <c r="M17" s="257"/>
      <c r="N17" s="257"/>
      <c r="O17" s="257"/>
      <c r="P17" s="257"/>
      <c r="Q17" s="257"/>
      <c r="R17" s="257"/>
      <c r="S17" s="257"/>
      <c r="T17" s="257"/>
      <c r="U17" s="257"/>
      <c r="V17" s="257"/>
      <c r="W17" s="257"/>
      <c r="X17" s="257"/>
      <c r="Y17" s="257"/>
      <c r="Z17" s="257"/>
      <c r="AA17" s="257"/>
      <c r="AB17" s="257"/>
      <c r="AC17" s="257"/>
      <c r="AD17" s="257"/>
      <c r="AE17" s="257"/>
      <c r="AF17" s="257"/>
      <c r="AG17" s="257"/>
      <c r="AH17" s="257"/>
      <c r="AI17" s="257"/>
      <c r="AJ17" s="257"/>
      <c r="AK17" s="257"/>
      <c r="AL17" s="257"/>
      <c r="AM17" s="52"/>
      <c r="AN17" s="51"/>
      <c r="AO17" s="52"/>
      <c r="AP17" s="52"/>
      <c r="AQ17" s="52"/>
      <c r="AR17" s="52"/>
      <c r="AS17" s="52"/>
      <c r="AT17" s="52"/>
      <c r="AU17" s="52"/>
      <c r="AV17" s="52"/>
      <c r="AW17" s="52"/>
      <c r="AX17" s="52"/>
      <c r="AY17" s="52"/>
      <c r="AZ17" s="52"/>
      <c r="BA17" s="51"/>
      <c r="BB17" s="62"/>
      <c r="BC17" s="52"/>
      <c r="BD17" s="52"/>
      <c r="BE17" s="52"/>
      <c r="BF17" s="52"/>
      <c r="BG17" s="52"/>
      <c r="BH17" s="52"/>
      <c r="BI17" s="52"/>
      <c r="BJ17" s="52"/>
      <c r="BK17" s="52"/>
      <c r="BL17" s="52"/>
      <c r="BM17" s="52"/>
    </row>
    <row r="18" spans="2:65" ht="14.5" thickBot="1">
      <c r="B18" s="58"/>
      <c r="C18" s="56">
        <v>1990</v>
      </c>
      <c r="D18" s="59">
        <v>1991</v>
      </c>
      <c r="E18" s="59">
        <v>1992</v>
      </c>
      <c r="F18" s="56">
        <v>1993</v>
      </c>
      <c r="G18" s="56">
        <v>1994</v>
      </c>
      <c r="H18" s="56">
        <v>1995</v>
      </c>
      <c r="I18" s="56">
        <v>1996</v>
      </c>
      <c r="J18" s="56">
        <v>1997</v>
      </c>
      <c r="K18" s="56">
        <v>1998</v>
      </c>
      <c r="L18" s="56">
        <v>1999</v>
      </c>
      <c r="M18" s="56">
        <v>2000</v>
      </c>
      <c r="N18" s="56">
        <v>2001</v>
      </c>
      <c r="O18" s="56">
        <v>2002</v>
      </c>
      <c r="P18" s="56">
        <v>2003</v>
      </c>
      <c r="Q18" s="56">
        <v>2004</v>
      </c>
      <c r="R18" s="56">
        <v>2005</v>
      </c>
      <c r="S18" s="56">
        <v>2006</v>
      </c>
      <c r="T18" s="56">
        <v>2007</v>
      </c>
      <c r="U18" s="56">
        <v>2008</v>
      </c>
      <c r="V18" s="56">
        <v>2009</v>
      </c>
      <c r="W18" s="56">
        <v>2010</v>
      </c>
      <c r="X18" s="56">
        <v>2011</v>
      </c>
      <c r="Y18" s="56">
        <v>2012</v>
      </c>
      <c r="Z18" s="56">
        <v>2013</v>
      </c>
      <c r="AA18" s="56">
        <v>2014</v>
      </c>
      <c r="AB18" s="56">
        <v>2015</v>
      </c>
      <c r="AC18" s="56">
        <v>2016</v>
      </c>
      <c r="AD18" s="56">
        <v>2017</v>
      </c>
      <c r="AE18" s="56">
        <v>2018</v>
      </c>
      <c r="AF18" s="56">
        <v>2019</v>
      </c>
      <c r="AG18" s="56">
        <v>2020</v>
      </c>
      <c r="AH18" s="56">
        <v>2021</v>
      </c>
      <c r="AI18" s="56">
        <v>2022</v>
      </c>
      <c r="AJ18" s="56">
        <v>2023</v>
      </c>
      <c r="AK18" s="56">
        <v>2024</v>
      </c>
      <c r="AL18" s="56">
        <v>2025</v>
      </c>
      <c r="AM18" s="63"/>
      <c r="AN18" s="63"/>
    </row>
    <row r="19" spans="2:65" ht="14">
      <c r="B19" s="238" t="s">
        <v>23</v>
      </c>
      <c r="C19" s="258">
        <f t="shared" ref="C19:L19" si="16">SUM(C20:C22)</f>
        <v>1431.12</v>
      </c>
      <c r="D19" s="258">
        <f t="shared" si="16"/>
        <v>1499.4599999999998</v>
      </c>
      <c r="E19" s="258">
        <f t="shared" si="16"/>
        <v>1539.46</v>
      </c>
      <c r="F19" s="258">
        <f t="shared" si="16"/>
        <v>1551.5500000000002</v>
      </c>
      <c r="G19" s="258">
        <f t="shared" si="16"/>
        <v>1579.5</v>
      </c>
      <c r="H19" s="258">
        <f t="shared" si="16"/>
        <v>1510.32</v>
      </c>
      <c r="I19" s="258">
        <f t="shared" si="16"/>
        <v>1509.6000000000001</v>
      </c>
      <c r="J19" s="258">
        <f t="shared" si="16"/>
        <v>1506.6</v>
      </c>
      <c r="K19" s="258">
        <f t="shared" si="16"/>
        <v>752.95</v>
      </c>
      <c r="L19" s="258">
        <f t="shared" si="16"/>
        <v>1227</v>
      </c>
      <c r="M19" s="258">
        <f t="shared" ref="M19:R19" si="17">SUM(M20:M22)</f>
        <v>1142.4000000000001</v>
      </c>
      <c r="N19" s="258">
        <f t="shared" si="17"/>
        <v>1224</v>
      </c>
      <c r="O19" s="258">
        <f t="shared" si="17"/>
        <v>920.25</v>
      </c>
      <c r="P19" s="258">
        <f t="shared" si="17"/>
        <v>983.99999999999989</v>
      </c>
      <c r="Q19" s="258">
        <f t="shared" si="17"/>
        <v>1031.6100000000001</v>
      </c>
      <c r="R19" s="258">
        <f t="shared" si="17"/>
        <v>1295.5999999999999</v>
      </c>
      <c r="S19" s="258">
        <f t="shared" ref="S19:AG19" si="18">SUM(S20:S22)</f>
        <v>1295.5999999999999</v>
      </c>
      <c r="T19" s="258">
        <f t="shared" si="18"/>
        <v>176.29999999999998</v>
      </c>
      <c r="U19" s="258">
        <f t="shared" si="18"/>
        <v>184.49999999999997</v>
      </c>
      <c r="V19" s="258">
        <f t="shared" si="18"/>
        <v>209.1</v>
      </c>
      <c r="W19" s="258">
        <f t="shared" si="18"/>
        <v>137404.75435793091</v>
      </c>
      <c r="X19" s="258">
        <f t="shared" si="18"/>
        <v>137572.17838806738</v>
      </c>
      <c r="Y19" s="258">
        <f t="shared" si="18"/>
        <v>136781.91019081254</v>
      </c>
      <c r="Z19" s="258">
        <f t="shared" si="18"/>
        <v>136636.65492204021</v>
      </c>
      <c r="AA19" s="258">
        <f t="shared" si="18"/>
        <v>136921.5047206349</v>
      </c>
      <c r="AB19" s="258">
        <f t="shared" si="18"/>
        <v>135820.67783764741</v>
      </c>
      <c r="AC19" s="258">
        <f t="shared" si="18"/>
        <v>135644.12562378362</v>
      </c>
      <c r="AD19" s="258">
        <f t="shared" si="18"/>
        <v>135762.66467643436</v>
      </c>
      <c r="AE19" s="258">
        <f t="shared" si="18"/>
        <v>135110.70654569479</v>
      </c>
      <c r="AF19" s="258">
        <f t="shared" si="18"/>
        <v>136396.89449862915</v>
      </c>
      <c r="AG19" s="258">
        <f t="shared" si="18"/>
        <v>136452.48985097307</v>
      </c>
      <c r="AH19" s="258">
        <f t="shared" ref="AH19:AL19" si="19">SUM(AH20:AH22)</f>
        <v>136257.55081014207</v>
      </c>
      <c r="AI19" s="258">
        <f t="shared" si="19"/>
        <v>136300.27087286755</v>
      </c>
      <c r="AJ19" s="258">
        <f t="shared" si="19"/>
        <v>0</v>
      </c>
      <c r="AK19" s="258">
        <f t="shared" si="19"/>
        <v>0</v>
      </c>
      <c r="AL19" s="258">
        <f t="shared" si="19"/>
        <v>0</v>
      </c>
      <c r="AM19" s="64"/>
      <c r="AN19" s="63"/>
    </row>
    <row r="20" spans="2:65" ht="14">
      <c r="B20" s="65" t="s">
        <v>107</v>
      </c>
      <c r="C20" s="108">
        <v>1431.12</v>
      </c>
      <c r="D20" s="108">
        <v>1499.4599999999998</v>
      </c>
      <c r="E20" s="108">
        <v>1539.46</v>
      </c>
      <c r="F20" s="108">
        <v>1551.5500000000002</v>
      </c>
      <c r="G20" s="108">
        <v>1579.5</v>
      </c>
      <c r="H20" s="108">
        <v>1510.32</v>
      </c>
      <c r="I20" s="108">
        <v>1509.6000000000001</v>
      </c>
      <c r="J20" s="108">
        <v>1506.6</v>
      </c>
      <c r="K20" s="108">
        <v>752.95</v>
      </c>
      <c r="L20" s="108">
        <v>1227</v>
      </c>
      <c r="M20" s="108">
        <v>1142.4000000000001</v>
      </c>
      <c r="N20" s="108">
        <v>1224</v>
      </c>
      <c r="O20" s="108">
        <v>920.25</v>
      </c>
      <c r="P20" s="108">
        <v>983.99999999999989</v>
      </c>
      <c r="Q20" s="108">
        <v>1031.6100000000001</v>
      </c>
      <c r="R20" s="108">
        <v>1295.5999999999999</v>
      </c>
      <c r="S20" s="108">
        <v>1295.5999999999999</v>
      </c>
      <c r="T20" s="108">
        <v>176.29999999999998</v>
      </c>
      <c r="U20" s="108">
        <v>184.49999999999997</v>
      </c>
      <c r="V20" s="108">
        <v>209.1</v>
      </c>
      <c r="W20" s="108">
        <v>204.99999999999997</v>
      </c>
      <c r="X20" s="108">
        <v>164</v>
      </c>
      <c r="Y20" s="108">
        <v>164</v>
      </c>
      <c r="Z20" s="108">
        <v>139.39999999999998</v>
      </c>
      <c r="AA20" s="108">
        <v>147.6</v>
      </c>
      <c r="AB20" s="108">
        <v>143.5</v>
      </c>
      <c r="AC20" s="108">
        <v>147.6</v>
      </c>
      <c r="AD20" s="108">
        <v>0</v>
      </c>
      <c r="AE20" s="108">
        <v>0</v>
      </c>
      <c r="AF20" s="108">
        <v>0</v>
      </c>
      <c r="AG20" s="108">
        <v>0</v>
      </c>
      <c r="AH20" s="108">
        <v>0</v>
      </c>
      <c r="AI20" s="108">
        <v>0</v>
      </c>
      <c r="AJ20" s="108">
        <v>0</v>
      </c>
      <c r="AK20" s="108">
        <v>0</v>
      </c>
      <c r="AL20" s="108">
        <v>0</v>
      </c>
      <c r="AM20" s="64"/>
      <c r="AN20" s="63"/>
    </row>
    <row r="21" spans="2:65" ht="14">
      <c r="B21" s="65" t="s">
        <v>108</v>
      </c>
      <c r="C21" s="108">
        <v>0</v>
      </c>
      <c r="D21" s="108">
        <v>0</v>
      </c>
      <c r="E21" s="108">
        <v>0</v>
      </c>
      <c r="F21" s="108">
        <v>0</v>
      </c>
      <c r="G21" s="108">
        <v>0</v>
      </c>
      <c r="H21" s="108">
        <v>0</v>
      </c>
      <c r="I21" s="108">
        <v>0</v>
      </c>
      <c r="J21" s="108">
        <v>0</v>
      </c>
      <c r="K21" s="108">
        <v>0</v>
      </c>
      <c r="L21" s="108">
        <v>0</v>
      </c>
      <c r="M21" s="108">
        <v>0</v>
      </c>
      <c r="N21" s="108">
        <v>0</v>
      </c>
      <c r="O21" s="108">
        <v>0</v>
      </c>
      <c r="P21" s="108">
        <v>0</v>
      </c>
      <c r="Q21" s="108">
        <v>0</v>
      </c>
      <c r="R21" s="108">
        <v>0</v>
      </c>
      <c r="S21" s="108">
        <v>0</v>
      </c>
      <c r="T21" s="108">
        <v>0</v>
      </c>
      <c r="U21" s="108">
        <v>0</v>
      </c>
      <c r="V21" s="108">
        <v>0</v>
      </c>
      <c r="W21" s="108">
        <v>75032.928723538906</v>
      </c>
      <c r="X21" s="108">
        <v>75274.854971759371</v>
      </c>
      <c r="Y21" s="108">
        <v>74728.502614234545</v>
      </c>
      <c r="Z21" s="108">
        <v>74729.081536942205</v>
      </c>
      <c r="AA21" s="108">
        <v>74727.614404052903</v>
      </c>
      <c r="AB21" s="108">
        <v>73698.083638171418</v>
      </c>
      <c r="AC21" s="108">
        <v>73636.543361301592</v>
      </c>
      <c r="AD21" s="108">
        <v>73750.012212004352</v>
      </c>
      <c r="AE21" s="108">
        <v>72938.957359458786</v>
      </c>
      <c r="AF21" s="108">
        <v>73296.422305323125</v>
      </c>
      <c r="AG21" s="108">
        <v>73212.740217497048</v>
      </c>
      <c r="AH21" s="108">
        <v>72801.498903404048</v>
      </c>
      <c r="AI21" s="108">
        <v>72790.364554341533</v>
      </c>
      <c r="AJ21" s="108">
        <v>0</v>
      </c>
      <c r="AK21" s="108">
        <v>0</v>
      </c>
      <c r="AL21" s="108">
        <v>0</v>
      </c>
      <c r="AM21" s="64"/>
      <c r="AN21" s="63"/>
    </row>
    <row r="22" spans="2:65" ht="14">
      <c r="B22" s="65" t="s">
        <v>109</v>
      </c>
      <c r="C22" s="108">
        <v>0</v>
      </c>
      <c r="D22" s="108">
        <v>0</v>
      </c>
      <c r="E22" s="108">
        <v>0</v>
      </c>
      <c r="F22" s="108">
        <v>0</v>
      </c>
      <c r="G22" s="108">
        <v>0</v>
      </c>
      <c r="H22" s="108">
        <v>0</v>
      </c>
      <c r="I22" s="108">
        <v>0</v>
      </c>
      <c r="J22" s="108">
        <v>0</v>
      </c>
      <c r="K22" s="108">
        <v>0</v>
      </c>
      <c r="L22" s="108">
        <v>0</v>
      </c>
      <c r="M22" s="108">
        <v>0</v>
      </c>
      <c r="N22" s="108">
        <v>0</v>
      </c>
      <c r="O22" s="108">
        <v>0</v>
      </c>
      <c r="P22" s="108">
        <v>0</v>
      </c>
      <c r="Q22" s="108">
        <v>0</v>
      </c>
      <c r="R22" s="108">
        <v>0</v>
      </c>
      <c r="S22" s="108">
        <v>0</v>
      </c>
      <c r="T22" s="108">
        <v>0</v>
      </c>
      <c r="U22" s="108">
        <v>0</v>
      </c>
      <c r="V22" s="108">
        <v>0</v>
      </c>
      <c r="W22" s="108">
        <v>62166.825634392</v>
      </c>
      <c r="X22" s="108">
        <v>62133.323416308005</v>
      </c>
      <c r="Y22" s="108">
        <v>61889.407576578</v>
      </c>
      <c r="Z22" s="108">
        <v>61768.173385098009</v>
      </c>
      <c r="AA22" s="108">
        <v>62046.290316582003</v>
      </c>
      <c r="AB22" s="108">
        <v>61979.094199476</v>
      </c>
      <c r="AC22" s="108">
        <v>61859.982262482008</v>
      </c>
      <c r="AD22" s="108">
        <v>62012.652464430001</v>
      </c>
      <c r="AE22" s="108">
        <v>62171.749186236004</v>
      </c>
      <c r="AF22" s="108">
        <v>63100.472193306006</v>
      </c>
      <c r="AG22" s="108">
        <v>63239.749633476007</v>
      </c>
      <c r="AH22" s="108">
        <v>63456.051906738008</v>
      </c>
      <c r="AI22" s="108">
        <v>63509.906318526009</v>
      </c>
      <c r="AJ22" s="108">
        <v>0</v>
      </c>
      <c r="AK22" s="108">
        <v>0</v>
      </c>
      <c r="AL22" s="108">
        <v>0</v>
      </c>
      <c r="AM22" s="63"/>
    </row>
    <row r="23" spans="2:65" ht="14">
      <c r="B23" s="239" t="s">
        <v>105</v>
      </c>
      <c r="C23" s="259">
        <v>12818.657144708917</v>
      </c>
      <c r="D23" s="259">
        <v>12143.291217620053</v>
      </c>
      <c r="E23" s="259">
        <v>12451.894605299804</v>
      </c>
      <c r="F23" s="259">
        <v>11635.254029592632</v>
      </c>
      <c r="G23" s="259">
        <v>11710.586062965338</v>
      </c>
      <c r="H23" s="259">
        <v>11174.079592598584</v>
      </c>
      <c r="I23" s="259">
        <v>11006.75575164604</v>
      </c>
      <c r="J23" s="259">
        <v>11196.780777694614</v>
      </c>
      <c r="K23" s="259">
        <v>9656.213616889374</v>
      </c>
      <c r="L23" s="259">
        <v>8805.436311774989</v>
      </c>
      <c r="M23" s="259">
        <v>8876.2683932691434</v>
      </c>
      <c r="N23" s="259">
        <v>7286.4461932384884</v>
      </c>
      <c r="O23" s="259">
        <v>8045.5333637593667</v>
      </c>
      <c r="P23" s="259">
        <v>8658.0581244188234</v>
      </c>
      <c r="Q23" s="259">
        <v>8374.1076566481242</v>
      </c>
      <c r="R23" s="259">
        <v>7595.6265724565328</v>
      </c>
      <c r="S23" s="259">
        <v>8273.8085056584277</v>
      </c>
      <c r="T23" s="259">
        <v>7653.1471691733077</v>
      </c>
      <c r="U23" s="259">
        <v>7581.7923219956047</v>
      </c>
      <c r="V23" s="259">
        <v>6638.2116029847539</v>
      </c>
      <c r="W23" s="259">
        <v>6333.6417094295321</v>
      </c>
      <c r="X23" s="259">
        <v>6186.9660052344861</v>
      </c>
      <c r="Y23" s="259">
        <v>5611.5076617309369</v>
      </c>
      <c r="Z23" s="259">
        <v>5311.5956414681159</v>
      </c>
      <c r="AA23" s="259">
        <v>4743.0837863778088</v>
      </c>
      <c r="AB23" s="259">
        <v>4382.7463390220237</v>
      </c>
      <c r="AC23" s="259">
        <v>3796.20409874699</v>
      </c>
      <c r="AD23" s="259">
        <v>3801.1923387292713</v>
      </c>
      <c r="AE23" s="259">
        <v>3126.2431803593231</v>
      </c>
      <c r="AF23" s="259">
        <v>2848.3152103925995</v>
      </c>
      <c r="AG23" s="259">
        <v>2695.1692347455282</v>
      </c>
      <c r="AH23" s="259">
        <v>0</v>
      </c>
      <c r="AI23" s="259">
        <v>0</v>
      </c>
      <c r="AJ23" s="259">
        <v>0</v>
      </c>
      <c r="AK23" s="259">
        <v>0</v>
      </c>
      <c r="AL23" s="259">
        <v>0</v>
      </c>
      <c r="AM23" s="64"/>
      <c r="AN23" s="63"/>
    </row>
    <row r="24" spans="2:65" ht="31.5" customHeight="1" thickBot="1">
      <c r="B24" s="56" t="s">
        <v>110</v>
      </c>
      <c r="C24" s="257"/>
      <c r="D24" s="257"/>
      <c r="E24" s="257"/>
      <c r="F24" s="257"/>
      <c r="G24" s="257"/>
      <c r="H24" s="257"/>
      <c r="I24" s="257"/>
      <c r="J24" s="257"/>
      <c r="K24" s="257"/>
      <c r="L24" s="257"/>
      <c r="M24" s="257"/>
      <c r="N24" s="257"/>
      <c r="O24" s="257"/>
      <c r="P24" s="257"/>
      <c r="Q24" s="257"/>
      <c r="R24" s="257"/>
      <c r="S24" s="257"/>
      <c r="T24" s="257"/>
      <c r="U24" s="257"/>
      <c r="V24" s="257"/>
      <c r="W24" s="257"/>
      <c r="X24" s="257"/>
      <c r="Y24" s="257"/>
      <c r="Z24" s="257"/>
      <c r="AA24" s="257"/>
      <c r="AB24" s="257"/>
      <c r="AC24" s="257"/>
      <c r="AD24" s="257"/>
      <c r="AE24" s="257"/>
      <c r="AF24" s="257"/>
      <c r="AG24" s="257"/>
      <c r="AH24" s="257"/>
      <c r="AI24" s="257"/>
      <c r="AJ24" s="257"/>
      <c r="AK24" s="257"/>
      <c r="AL24" s="257"/>
    </row>
    <row r="25" spans="2:65" ht="14.5" thickBot="1">
      <c r="B25" s="120"/>
      <c r="C25" s="56">
        <v>1990</v>
      </c>
      <c r="D25" s="59">
        <v>1991</v>
      </c>
      <c r="E25" s="59">
        <v>1992</v>
      </c>
      <c r="F25" s="56">
        <v>1993</v>
      </c>
      <c r="G25" s="56">
        <v>1994</v>
      </c>
      <c r="H25" s="56">
        <v>1995</v>
      </c>
      <c r="I25" s="56">
        <v>1996</v>
      </c>
      <c r="J25" s="56">
        <v>1997</v>
      </c>
      <c r="K25" s="56">
        <v>1998</v>
      </c>
      <c r="L25" s="56">
        <v>1999</v>
      </c>
      <c r="M25" s="56">
        <v>2000</v>
      </c>
      <c r="N25" s="56">
        <v>2001</v>
      </c>
      <c r="O25" s="56">
        <v>2002</v>
      </c>
      <c r="P25" s="56">
        <v>2003</v>
      </c>
      <c r="Q25" s="56">
        <v>2004</v>
      </c>
      <c r="R25" s="56">
        <v>2005</v>
      </c>
      <c r="S25" s="56">
        <v>2006</v>
      </c>
      <c r="T25" s="56">
        <v>2007</v>
      </c>
      <c r="U25" s="56">
        <v>2008</v>
      </c>
      <c r="V25" s="56">
        <v>2009</v>
      </c>
      <c r="W25" s="56">
        <v>2010</v>
      </c>
      <c r="X25" s="56">
        <v>2011</v>
      </c>
      <c r="Y25" s="56">
        <v>2012</v>
      </c>
      <c r="Z25" s="56">
        <v>2013</v>
      </c>
      <c r="AA25" s="56">
        <v>2014</v>
      </c>
      <c r="AB25" s="56">
        <v>2015</v>
      </c>
      <c r="AC25" s="56">
        <v>2016</v>
      </c>
      <c r="AD25" s="56">
        <v>2017</v>
      </c>
      <c r="AE25" s="56">
        <v>2018</v>
      </c>
      <c r="AF25" s="56">
        <v>2019</v>
      </c>
      <c r="AG25" s="56">
        <v>2020</v>
      </c>
      <c r="AH25" s="56">
        <v>2021</v>
      </c>
      <c r="AI25" s="56">
        <v>2022</v>
      </c>
      <c r="AJ25" s="56">
        <v>2023</v>
      </c>
      <c r="AK25" s="56">
        <v>2024</v>
      </c>
      <c r="AL25" s="56">
        <v>2025</v>
      </c>
    </row>
    <row r="26" spans="2:65" ht="14">
      <c r="B26" s="240" t="s">
        <v>111</v>
      </c>
      <c r="C26" s="260">
        <v>0</v>
      </c>
      <c r="D26" s="260">
        <v>0</v>
      </c>
      <c r="E26" s="260">
        <v>0</v>
      </c>
      <c r="F26" s="260">
        <v>0</v>
      </c>
      <c r="G26" s="260">
        <v>0</v>
      </c>
      <c r="H26" s="260">
        <v>0</v>
      </c>
      <c r="I26" s="260">
        <v>0</v>
      </c>
      <c r="J26" s="260">
        <v>0</v>
      </c>
      <c r="K26" s="260">
        <v>0</v>
      </c>
      <c r="L26" s="260">
        <v>0</v>
      </c>
      <c r="M26" s="260">
        <v>0</v>
      </c>
      <c r="N26" s="260">
        <v>0</v>
      </c>
      <c r="O26" s="260">
        <v>0</v>
      </c>
      <c r="P26" s="260">
        <v>0</v>
      </c>
      <c r="Q26" s="260">
        <v>0</v>
      </c>
      <c r="R26" s="260">
        <v>0</v>
      </c>
      <c r="S26" s="260">
        <v>0</v>
      </c>
      <c r="T26" s="260">
        <v>0</v>
      </c>
      <c r="U26" s="260">
        <v>0</v>
      </c>
      <c r="V26" s="260">
        <v>0</v>
      </c>
      <c r="W26" s="260">
        <v>0</v>
      </c>
      <c r="X26" s="260">
        <v>0</v>
      </c>
      <c r="Y26" s="260">
        <v>0</v>
      </c>
      <c r="Z26" s="260">
        <v>0</v>
      </c>
      <c r="AA26" s="260">
        <v>0</v>
      </c>
      <c r="AB26" s="260">
        <v>0</v>
      </c>
      <c r="AC26" s="260">
        <v>0</v>
      </c>
      <c r="AD26" s="260">
        <v>0</v>
      </c>
      <c r="AE26" s="260">
        <v>0</v>
      </c>
      <c r="AF26" s="260">
        <v>0</v>
      </c>
      <c r="AG26" s="260">
        <v>0</v>
      </c>
      <c r="AH26" s="260">
        <v>0</v>
      </c>
      <c r="AI26" s="260">
        <v>0</v>
      </c>
      <c r="AJ26" s="260">
        <v>0</v>
      </c>
      <c r="AK26" s="260">
        <v>0</v>
      </c>
      <c r="AL26" s="260">
        <v>0</v>
      </c>
    </row>
    <row r="27" spans="2:65" s="278" customFormat="1" ht="15.5">
      <c r="B27" s="398"/>
      <c r="C27" s="399">
        <v>1</v>
      </c>
      <c r="D27" s="283">
        <f>IF(D4&lt;=$B28,C27+1,0)</f>
        <v>2</v>
      </c>
      <c r="E27" s="283">
        <f t="shared" ref="E27:AL27" si="20">IF(E4&lt;=$B28,D27+1,0)</f>
        <v>3</v>
      </c>
      <c r="F27" s="283">
        <f t="shared" si="20"/>
        <v>4</v>
      </c>
      <c r="G27" s="283">
        <f t="shared" si="20"/>
        <v>5</v>
      </c>
      <c r="H27" s="283">
        <f t="shared" si="20"/>
        <v>6</v>
      </c>
      <c r="I27" s="283">
        <f t="shared" si="20"/>
        <v>7</v>
      </c>
      <c r="J27" s="283">
        <f t="shared" si="20"/>
        <v>8</v>
      </c>
      <c r="K27" s="283">
        <f t="shared" si="20"/>
        <v>9</v>
      </c>
      <c r="L27" s="283">
        <f t="shared" si="20"/>
        <v>10</v>
      </c>
      <c r="M27" s="283">
        <f t="shared" si="20"/>
        <v>11</v>
      </c>
      <c r="N27" s="283">
        <f t="shared" si="20"/>
        <v>12</v>
      </c>
      <c r="O27" s="283">
        <f t="shared" si="20"/>
        <v>13</v>
      </c>
      <c r="P27" s="283">
        <f t="shared" si="20"/>
        <v>14</v>
      </c>
      <c r="Q27" s="283">
        <f t="shared" si="20"/>
        <v>15</v>
      </c>
      <c r="R27" s="283">
        <f t="shared" si="20"/>
        <v>16</v>
      </c>
      <c r="S27" s="283">
        <f t="shared" si="20"/>
        <v>17</v>
      </c>
      <c r="T27" s="283">
        <f t="shared" si="20"/>
        <v>18</v>
      </c>
      <c r="U27" s="283">
        <f t="shared" si="20"/>
        <v>19</v>
      </c>
      <c r="V27" s="283">
        <f t="shared" si="20"/>
        <v>20</v>
      </c>
      <c r="W27" s="283">
        <f t="shared" si="20"/>
        <v>21</v>
      </c>
      <c r="X27" s="283">
        <f t="shared" si="20"/>
        <v>22</v>
      </c>
      <c r="Y27" s="283">
        <f t="shared" si="20"/>
        <v>23</v>
      </c>
      <c r="Z27" s="283">
        <f t="shared" si="20"/>
        <v>24</v>
      </c>
      <c r="AA27" s="283">
        <f t="shared" si="20"/>
        <v>25</v>
      </c>
      <c r="AB27" s="283">
        <f t="shared" si="20"/>
        <v>26</v>
      </c>
      <c r="AC27" s="283">
        <f t="shared" si="20"/>
        <v>27</v>
      </c>
      <c r="AD27" s="283">
        <f t="shared" si="20"/>
        <v>28</v>
      </c>
      <c r="AE27" s="283">
        <f t="shared" si="20"/>
        <v>29</v>
      </c>
      <c r="AF27" s="283">
        <f t="shared" si="20"/>
        <v>30</v>
      </c>
      <c r="AG27" s="283">
        <f t="shared" si="20"/>
        <v>31</v>
      </c>
      <c r="AH27" s="283">
        <f t="shared" si="20"/>
        <v>32</v>
      </c>
      <c r="AI27" s="283">
        <f t="shared" si="20"/>
        <v>33</v>
      </c>
      <c r="AJ27" s="283">
        <f t="shared" si="20"/>
        <v>0</v>
      </c>
      <c r="AK27" s="283">
        <f t="shared" si="20"/>
        <v>0</v>
      </c>
      <c r="AL27" s="283">
        <f t="shared" si="20"/>
        <v>0</v>
      </c>
    </row>
    <row r="28" spans="2:65" s="278" customFormat="1">
      <c r="B28" s="278">
        <f>MAX(C28:AL28)</f>
        <v>2022</v>
      </c>
      <c r="C28" s="278">
        <v>1990</v>
      </c>
      <c r="D28" s="278">
        <f>IF(D8=0,0,D4)</f>
        <v>1991</v>
      </c>
      <c r="E28" s="278">
        <f t="shared" ref="E28:AL28" si="21">IF(E8=0,0,E4)</f>
        <v>1992</v>
      </c>
      <c r="F28" s="278">
        <f t="shared" si="21"/>
        <v>1993</v>
      </c>
      <c r="G28" s="278">
        <f t="shared" si="21"/>
        <v>1994</v>
      </c>
      <c r="H28" s="278">
        <f t="shared" si="21"/>
        <v>1995</v>
      </c>
      <c r="I28" s="278">
        <f t="shared" si="21"/>
        <v>1996</v>
      </c>
      <c r="J28" s="278">
        <f t="shared" si="21"/>
        <v>1997</v>
      </c>
      <c r="K28" s="278">
        <f t="shared" si="21"/>
        <v>1998</v>
      </c>
      <c r="L28" s="278">
        <f t="shared" si="21"/>
        <v>1999</v>
      </c>
      <c r="M28" s="278">
        <f t="shared" si="21"/>
        <v>2000</v>
      </c>
      <c r="N28" s="278">
        <f t="shared" si="21"/>
        <v>2001</v>
      </c>
      <c r="O28" s="278">
        <f t="shared" si="21"/>
        <v>2002</v>
      </c>
      <c r="P28" s="278">
        <f t="shared" si="21"/>
        <v>2003</v>
      </c>
      <c r="Q28" s="278">
        <f t="shared" si="21"/>
        <v>2004</v>
      </c>
      <c r="R28" s="278">
        <f t="shared" si="21"/>
        <v>2005</v>
      </c>
      <c r="S28" s="278">
        <f t="shared" si="21"/>
        <v>2006</v>
      </c>
      <c r="T28" s="278">
        <f t="shared" si="21"/>
        <v>2007</v>
      </c>
      <c r="U28" s="278">
        <f t="shared" si="21"/>
        <v>2008</v>
      </c>
      <c r="V28" s="278">
        <f t="shared" si="21"/>
        <v>2009</v>
      </c>
      <c r="W28" s="278">
        <f t="shared" si="21"/>
        <v>2010</v>
      </c>
      <c r="X28" s="278">
        <f t="shared" si="21"/>
        <v>2011</v>
      </c>
      <c r="Y28" s="278">
        <f t="shared" si="21"/>
        <v>2012</v>
      </c>
      <c r="Z28" s="278">
        <f t="shared" si="21"/>
        <v>2013</v>
      </c>
      <c r="AA28" s="278">
        <f t="shared" si="21"/>
        <v>2014</v>
      </c>
      <c r="AB28" s="278">
        <f t="shared" si="21"/>
        <v>2015</v>
      </c>
      <c r="AC28" s="278">
        <f t="shared" si="21"/>
        <v>2016</v>
      </c>
      <c r="AD28" s="278">
        <f t="shared" si="21"/>
        <v>2017</v>
      </c>
      <c r="AE28" s="278">
        <f t="shared" si="21"/>
        <v>2018</v>
      </c>
      <c r="AF28" s="278">
        <f t="shared" si="21"/>
        <v>2019</v>
      </c>
      <c r="AG28" s="278">
        <f t="shared" si="21"/>
        <v>2020</v>
      </c>
      <c r="AH28" s="278">
        <f t="shared" si="21"/>
        <v>2021</v>
      </c>
      <c r="AI28" s="278">
        <f t="shared" si="21"/>
        <v>2022</v>
      </c>
      <c r="AJ28" s="278">
        <f t="shared" si="21"/>
        <v>0</v>
      </c>
      <c r="AK28" s="278">
        <f t="shared" si="21"/>
        <v>0</v>
      </c>
      <c r="AL28" s="278">
        <f t="shared" si="21"/>
        <v>0</v>
      </c>
    </row>
    <row r="29" spans="2:65" customFormat="1"/>
    <row r="30" spans="2:65" customFormat="1"/>
    <row r="32" spans="2:65">
      <c r="O32" s="278"/>
    </row>
    <row r="33" spans="14:22">
      <c r="N33" s="306"/>
      <c r="O33" s="278"/>
      <c r="P33" s="306"/>
      <c r="Q33" s="306"/>
      <c r="R33" s="306"/>
      <c r="S33" s="306"/>
      <c r="T33" s="306"/>
      <c r="U33" s="306"/>
      <c r="V33" s="306"/>
    </row>
    <row r="34" spans="14:22" ht="14">
      <c r="N34" s="306"/>
      <c r="O34" s="276" t="str">
        <f>"Greenhouse Gas Emissions from Oil and Gas Activities, 1990-"&amp;B28</f>
        <v>Greenhouse Gas Emissions from Oil and Gas Activities, 1990-2022</v>
      </c>
      <c r="P34" s="306"/>
      <c r="Q34" s="306"/>
      <c r="R34" s="306"/>
      <c r="S34" s="306"/>
      <c r="T34" s="306"/>
      <c r="U34" s="306"/>
      <c r="V34" s="306"/>
    </row>
    <row r="35" spans="14:22">
      <c r="N35" s="306"/>
      <c r="O35" s="278"/>
      <c r="P35" s="306"/>
      <c r="Q35" s="306"/>
      <c r="R35" s="306"/>
      <c r="S35" s="306"/>
      <c r="T35" s="306"/>
      <c r="U35" s="306"/>
      <c r="V35" s="306"/>
    </row>
    <row r="36" spans="14:22">
      <c r="N36" s="306"/>
      <c r="O36" s="278"/>
      <c r="P36" s="306"/>
      <c r="Q36" s="306"/>
      <c r="R36" s="306"/>
      <c r="S36" s="306"/>
      <c r="T36" s="306"/>
      <c r="U36" s="306"/>
      <c r="V36" s="306"/>
    </row>
    <row r="37" spans="14:22">
      <c r="N37" s="306"/>
      <c r="O37" s="278"/>
      <c r="P37" s="306"/>
      <c r="Q37" s="306"/>
      <c r="R37" s="306"/>
      <c r="S37" s="306"/>
      <c r="T37" s="306"/>
      <c r="U37" s="306"/>
      <c r="V37" s="306"/>
    </row>
    <row r="38" spans="14:22">
      <c r="N38" s="306"/>
      <c r="O38" s="306"/>
      <c r="P38" s="306"/>
      <c r="Q38" s="306"/>
      <c r="R38" s="306"/>
      <c r="S38" s="306"/>
      <c r="T38" s="306"/>
      <c r="U38" s="306"/>
      <c r="V38" s="306"/>
    </row>
    <row r="39" spans="14:22">
      <c r="N39" s="306"/>
      <c r="O39" s="306"/>
      <c r="P39" s="306"/>
      <c r="Q39" s="306"/>
      <c r="R39" s="306"/>
      <c r="S39" s="306"/>
      <c r="T39" s="306"/>
      <c r="U39" s="306"/>
      <c r="V39" s="306"/>
    </row>
    <row r="40" spans="14:22">
      <c r="N40" s="306"/>
      <c r="O40" s="306"/>
      <c r="P40" s="306"/>
      <c r="Q40" s="306"/>
      <c r="R40" s="306"/>
      <c r="S40" s="306"/>
      <c r="T40" s="306"/>
      <c r="U40" s="306"/>
      <c r="V40" s="306"/>
    </row>
    <row r="41" spans="14:22">
      <c r="N41" s="306"/>
      <c r="O41" s="306"/>
      <c r="P41" s="306"/>
      <c r="Q41" s="306"/>
      <c r="R41" s="306"/>
      <c r="S41" s="306"/>
      <c r="T41" s="306"/>
      <c r="U41" s="306"/>
      <c r="V41" s="306"/>
    </row>
    <row r="42" spans="14:22">
      <c r="N42" s="306"/>
      <c r="O42" s="306"/>
      <c r="P42" s="306"/>
      <c r="Q42" s="306"/>
      <c r="R42" s="306"/>
      <c r="S42" s="306"/>
      <c r="T42" s="306"/>
      <c r="U42" s="306"/>
      <c r="V42" s="306"/>
    </row>
    <row r="43" spans="14:22">
      <c r="N43" s="306"/>
      <c r="O43" s="306"/>
      <c r="P43" s="306"/>
      <c r="Q43" s="306"/>
      <c r="R43" s="306"/>
      <c r="S43" s="306"/>
      <c r="T43" s="306"/>
      <c r="U43" s="306"/>
      <c r="V43" s="306"/>
    </row>
    <row r="44" spans="14:22">
      <c r="N44" s="306"/>
      <c r="O44" s="306"/>
      <c r="P44" s="306"/>
      <c r="Q44" s="306"/>
      <c r="R44" s="306"/>
      <c r="S44" s="306"/>
      <c r="T44" s="306"/>
      <c r="U44" s="306"/>
      <c r="V44" s="306"/>
    </row>
    <row r="45" spans="14:22">
      <c r="N45" s="306"/>
      <c r="O45" s="306"/>
      <c r="P45" s="306"/>
      <c r="Q45" s="306"/>
      <c r="R45" s="306"/>
      <c r="S45" s="306"/>
      <c r="T45" s="306"/>
      <c r="U45" s="306"/>
      <c r="V45" s="306"/>
    </row>
    <row r="46" spans="14:22">
      <c r="N46" s="306"/>
      <c r="O46" s="306"/>
      <c r="P46" s="306"/>
      <c r="Q46" s="306"/>
      <c r="R46" s="306"/>
      <c r="S46" s="306"/>
      <c r="T46" s="306"/>
      <c r="U46" s="306"/>
      <c r="V46" s="306"/>
    </row>
    <row r="47" spans="14:22">
      <c r="N47" s="306"/>
      <c r="O47" s="306"/>
      <c r="P47" s="306"/>
      <c r="Q47" s="306"/>
      <c r="R47" s="306"/>
      <c r="S47" s="306"/>
      <c r="T47" s="306"/>
      <c r="U47" s="306"/>
      <c r="V47" s="306"/>
    </row>
    <row r="48" spans="14:22">
      <c r="N48" s="306"/>
      <c r="O48" s="306"/>
      <c r="P48" s="306"/>
      <c r="Q48" s="306"/>
      <c r="R48" s="306"/>
      <c r="S48" s="306"/>
      <c r="T48" s="306"/>
      <c r="U48" s="306"/>
      <c r="V48" s="306"/>
    </row>
    <row r="49" spans="14:22">
      <c r="N49" s="306"/>
      <c r="O49" s="306"/>
      <c r="P49" s="306"/>
      <c r="Q49" s="306"/>
      <c r="R49" s="306"/>
      <c r="S49" s="306"/>
      <c r="T49" s="306"/>
      <c r="U49" s="306"/>
      <c r="V49" s="306"/>
    </row>
    <row r="50" spans="14:22">
      <c r="N50" s="306"/>
      <c r="O50" s="306"/>
      <c r="P50" s="306"/>
      <c r="Q50" s="306"/>
      <c r="R50" s="306"/>
      <c r="S50" s="306"/>
      <c r="T50" s="306"/>
      <c r="U50" s="306"/>
      <c r="V50" s="306"/>
    </row>
    <row r="51" spans="14:22">
      <c r="N51" s="306"/>
      <c r="O51" s="306"/>
      <c r="P51" s="306"/>
      <c r="Q51" s="306"/>
      <c r="R51" s="306"/>
      <c r="S51" s="306"/>
      <c r="T51" s="306"/>
      <c r="U51" s="306"/>
      <c r="V51" s="306"/>
    </row>
    <row r="52" spans="14:22">
      <c r="N52" s="306"/>
      <c r="O52" s="306"/>
      <c r="P52" s="306"/>
      <c r="Q52" s="306"/>
      <c r="R52" s="306"/>
      <c r="S52" s="306"/>
      <c r="T52" s="306"/>
      <c r="U52" s="306"/>
      <c r="V52" s="306"/>
    </row>
  </sheetData>
  <sheetProtection algorithmName="SHA-512" hashValue="QV7gB6n7C/gcpiTXTHIU59MDpoB9sWv7n8ypCrtWDXOhReSrq/LbFxog0n+mO1X/RnHZkB6MVqG/Mn2ylhQSjg==" saltValue="ib/gx+qRUkklx7XhbBL6Jg==" spinCount="100000" sheet="1" objects="1" scenarios="1"/>
  <protectedRanges>
    <protectedRange sqref="C15:AL15 C7:AL7" name="AES NGO"/>
  </protectedRanges>
  <mergeCells count="2">
    <mergeCell ref="C2:M2"/>
    <mergeCell ref="A1:E1"/>
  </mergeCells>
  <phoneticPr fontId="0" type="noConversion"/>
  <pageMargins left="0.75" right="0.75" top="1" bottom="1" header="0.5" footer="0.5"/>
  <pageSetup orientation="portrait" r:id="rId1"/>
  <headerFooter alignWithMargins="0"/>
  <ignoredErrors>
    <ignoredError sqref="C19"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07"/>
  <dimension ref="A1:AZ48"/>
  <sheetViews>
    <sheetView showGridLines="0" showRowColHeaders="0" workbookViewId="0">
      <selection activeCell="B3" sqref="B3"/>
    </sheetView>
  </sheetViews>
  <sheetFormatPr defaultRowHeight="12.5"/>
  <cols>
    <col min="2" max="2" width="32.81640625" customWidth="1"/>
    <col min="3" max="3" width="11" bestFit="1" customWidth="1"/>
    <col min="4" max="4" width="12.1796875" customWidth="1"/>
    <col min="5" max="5" width="11.54296875" customWidth="1"/>
    <col min="6" max="7" width="12.1796875" bestFit="1" customWidth="1"/>
    <col min="8" max="10" width="11.81640625" bestFit="1" customWidth="1"/>
    <col min="11" max="11" width="12.1796875" bestFit="1" customWidth="1"/>
    <col min="12" max="12" width="11.81640625" bestFit="1" customWidth="1"/>
    <col min="13" max="33" width="11" customWidth="1"/>
  </cols>
  <sheetData>
    <row r="1" spans="1:52" ht="45" customHeight="1">
      <c r="A1" s="426" t="str">
        <f>"Summary of GHG Emissions from Industrial Processes in "&amp;StateName&amp;" (MTCO2E)"</f>
        <v>Summary of GHG Emissions from Industrial Processes in Illinois (MTCO2E)</v>
      </c>
      <c r="B1" s="426"/>
      <c r="C1" s="426"/>
      <c r="D1" s="426"/>
      <c r="E1" s="426"/>
      <c r="F1" s="18"/>
      <c r="G1" s="18"/>
      <c r="H1" s="18"/>
      <c r="I1" s="18"/>
      <c r="J1" s="18"/>
      <c r="K1" s="18"/>
      <c r="L1" s="18"/>
      <c r="AZ1">
        <v>45329.441078703705</v>
      </c>
    </row>
    <row r="2" spans="1:52" ht="79" customHeight="1">
      <c r="A2" s="19"/>
      <c r="B2" s="18"/>
      <c r="C2" s="18"/>
      <c r="D2" s="18"/>
      <c r="E2" s="18"/>
      <c r="F2" s="18"/>
      <c r="G2" s="18"/>
      <c r="H2" s="18"/>
      <c r="I2" s="18"/>
      <c r="J2" s="18"/>
      <c r="K2" s="18"/>
      <c r="L2" s="18"/>
    </row>
    <row r="3" spans="1:52" ht="14.5" thickBot="1">
      <c r="A3" s="18"/>
      <c r="B3" s="56" t="s">
        <v>112</v>
      </c>
      <c r="C3" s="20">
        <v>1990</v>
      </c>
      <c r="D3" s="20">
        <v>1991</v>
      </c>
      <c r="E3" s="20">
        <v>1992</v>
      </c>
      <c r="F3" s="20">
        <v>1993</v>
      </c>
      <c r="G3" s="20">
        <v>1994</v>
      </c>
      <c r="H3" s="20">
        <v>1995</v>
      </c>
      <c r="I3" s="20">
        <v>1996</v>
      </c>
      <c r="J3" s="20">
        <v>1997</v>
      </c>
      <c r="K3" s="20">
        <v>1998</v>
      </c>
      <c r="L3" s="20">
        <v>1999</v>
      </c>
      <c r="M3" s="20">
        <v>2000</v>
      </c>
      <c r="N3" s="20">
        <v>2001</v>
      </c>
      <c r="O3" s="20">
        <v>2002</v>
      </c>
      <c r="P3" s="20">
        <v>2003</v>
      </c>
      <c r="Q3" s="20">
        <v>2004</v>
      </c>
      <c r="R3" s="20">
        <v>2005</v>
      </c>
      <c r="S3" s="20">
        <v>2006</v>
      </c>
      <c r="T3" s="20">
        <v>2007</v>
      </c>
      <c r="U3" s="20">
        <v>2008</v>
      </c>
      <c r="V3" s="20">
        <v>2009</v>
      </c>
      <c r="W3" s="20">
        <v>2010</v>
      </c>
      <c r="X3" s="20">
        <v>2011</v>
      </c>
      <c r="Y3" s="20">
        <v>2012</v>
      </c>
      <c r="Z3" s="20">
        <v>2013</v>
      </c>
      <c r="AA3" s="20">
        <v>2014</v>
      </c>
      <c r="AB3" s="20">
        <v>2015</v>
      </c>
      <c r="AC3" s="20">
        <v>2016</v>
      </c>
      <c r="AD3" s="20">
        <v>2017</v>
      </c>
      <c r="AE3" s="20">
        <v>2018</v>
      </c>
      <c r="AF3" s="20">
        <v>2019</v>
      </c>
      <c r="AG3" s="20">
        <v>2020</v>
      </c>
      <c r="AH3" s="20">
        <v>2021</v>
      </c>
      <c r="AI3" s="20">
        <v>2022</v>
      </c>
      <c r="AJ3" s="20">
        <v>2023</v>
      </c>
      <c r="AK3" s="20">
        <v>2024</v>
      </c>
      <c r="AL3" s="20">
        <v>2025</v>
      </c>
    </row>
    <row r="4" spans="1:52" ht="14">
      <c r="A4" s="18"/>
      <c r="B4" s="27" t="s">
        <v>113</v>
      </c>
      <c r="C4" s="39">
        <f>SUM(C5:C12,C23)</f>
        <v>2443937.2797783264</v>
      </c>
      <c r="D4" s="39">
        <f t="shared" ref="D4:AG4" si="0">SUM(D5:D12,D23)</f>
        <v>2332191.5418258845</v>
      </c>
      <c r="E4" s="39">
        <f t="shared" si="0"/>
        <v>2402709.9347448135</v>
      </c>
      <c r="F4" s="39">
        <f t="shared" si="0"/>
        <v>2530751.9266305077</v>
      </c>
      <c r="G4" s="39">
        <f t="shared" si="0"/>
        <v>2884983.1880176463</v>
      </c>
      <c r="H4" s="39">
        <f t="shared" si="0"/>
        <v>3096316.8184900247</v>
      </c>
      <c r="I4" s="39">
        <f t="shared" si="0"/>
        <v>3156967.7002062476</v>
      </c>
      <c r="J4" s="39">
        <f t="shared" si="0"/>
        <v>9656532.6705081258</v>
      </c>
      <c r="K4" s="39">
        <f t="shared" si="0"/>
        <v>9147621.1055159327</v>
      </c>
      <c r="L4" s="39">
        <f t="shared" si="0"/>
        <v>8797456.2363590505</v>
      </c>
      <c r="M4" s="39">
        <f t="shared" si="0"/>
        <v>8093859.1653350908</v>
      </c>
      <c r="N4" s="39">
        <f t="shared" si="0"/>
        <v>7012112.9706795309</v>
      </c>
      <c r="O4" s="39">
        <f t="shared" si="0"/>
        <v>7974115.8488767119</v>
      </c>
      <c r="P4" s="39">
        <f t="shared" si="0"/>
        <v>8255408.5080743283</v>
      </c>
      <c r="Q4" s="39">
        <f t="shared" si="0"/>
        <v>6476040.0690624109</v>
      </c>
      <c r="R4" s="39">
        <f t="shared" si="0"/>
        <v>6411626.4532705462</v>
      </c>
      <c r="S4" s="39">
        <f t="shared" si="0"/>
        <v>6445170.4433646528</v>
      </c>
      <c r="T4" s="39">
        <f t="shared" si="0"/>
        <v>6121579.6649381118</v>
      </c>
      <c r="U4" s="39">
        <f t="shared" si="0"/>
        <v>5564177.2346790722</v>
      </c>
      <c r="V4" s="39">
        <f t="shared" si="0"/>
        <v>2907355.3994282261</v>
      </c>
      <c r="W4" s="39">
        <f t="shared" si="0"/>
        <v>4399569.5378062334</v>
      </c>
      <c r="X4" s="39">
        <f t="shared" si="0"/>
        <v>4264525.8818669599</v>
      </c>
      <c r="Y4" s="39">
        <f t="shared" si="0"/>
        <v>3955056.7020898978</v>
      </c>
      <c r="Z4" s="39">
        <f t="shared" si="0"/>
        <v>4262511.3044092227</v>
      </c>
      <c r="AA4" s="39">
        <f t="shared" si="0"/>
        <v>4399561.2047164571</v>
      </c>
      <c r="AB4" s="39">
        <f t="shared" si="0"/>
        <v>4517620.3150697434</v>
      </c>
      <c r="AC4" s="39">
        <f t="shared" si="0"/>
        <v>4429510.5062261028</v>
      </c>
      <c r="AD4" s="39">
        <f t="shared" si="0"/>
        <v>4128371.5561686256</v>
      </c>
      <c r="AE4" s="39">
        <f t="shared" si="0"/>
        <v>3864255.5394974463</v>
      </c>
      <c r="AF4" s="39">
        <f t="shared" si="0"/>
        <v>4152318.2720898511</v>
      </c>
      <c r="AG4" s="39">
        <f t="shared" si="0"/>
        <v>4197362.7698094267</v>
      </c>
      <c r="AH4" s="39">
        <f t="shared" ref="AH4:AL4" si="1">SUM(AH5:AH12,AH23)</f>
        <v>0</v>
      </c>
      <c r="AI4" s="39">
        <f t="shared" si="1"/>
        <v>0</v>
      </c>
      <c r="AJ4" s="39">
        <f t="shared" si="1"/>
        <v>0</v>
      </c>
      <c r="AK4" s="39">
        <f t="shared" si="1"/>
        <v>0</v>
      </c>
      <c r="AL4" s="39">
        <f t="shared" si="1"/>
        <v>0</v>
      </c>
    </row>
    <row r="5" spans="1:52" ht="14">
      <c r="A5" s="18"/>
      <c r="B5" s="23" t="s">
        <v>114</v>
      </c>
      <c r="C5" s="40">
        <v>1153161.6801233783</v>
      </c>
      <c r="D5" s="40">
        <v>1192100.8255465843</v>
      </c>
      <c r="E5" s="40">
        <v>1248398.3851945931</v>
      </c>
      <c r="F5" s="40">
        <v>1178562.06</v>
      </c>
      <c r="G5" s="40">
        <v>1205970.48</v>
      </c>
      <c r="H5" s="40">
        <v>1212693.3</v>
      </c>
      <c r="I5" s="40">
        <v>1322326.98</v>
      </c>
      <c r="J5" s="40">
        <v>1247341.68</v>
      </c>
      <c r="K5" s="40">
        <v>1279404.3600000001</v>
      </c>
      <c r="L5" s="40">
        <v>1324395.54</v>
      </c>
      <c r="M5" s="40">
        <v>1305724.2003000001</v>
      </c>
      <c r="N5" s="40">
        <v>1291298.58</v>
      </c>
      <c r="O5" s="40">
        <v>1318707</v>
      </c>
      <c r="P5" s="40">
        <v>1330084.08</v>
      </c>
      <c r="Q5" s="40">
        <v>1372582.1658401799</v>
      </c>
      <c r="R5" s="40">
        <v>1407137.94</v>
      </c>
      <c r="S5" s="40">
        <v>1331741.1450102085</v>
      </c>
      <c r="T5" s="40">
        <v>1483664.2241044573</v>
      </c>
      <c r="U5" s="40">
        <v>1243298.0918408895</v>
      </c>
      <c r="V5" s="40">
        <v>677962.69855705171</v>
      </c>
      <c r="W5" s="40">
        <v>762018.8081488047</v>
      </c>
      <c r="X5" s="40">
        <v>691396.10058892239</v>
      </c>
      <c r="Y5" s="40">
        <v>593944.12029737071</v>
      </c>
      <c r="Z5" s="40">
        <v>570673.75612942898</v>
      </c>
      <c r="AA5" s="40">
        <v>564489.53088726511</v>
      </c>
      <c r="AB5" s="40">
        <v>750364.8603987979</v>
      </c>
      <c r="AC5" s="40">
        <v>814824.92323245772</v>
      </c>
      <c r="AD5" s="40">
        <v>676413.59282577981</v>
      </c>
      <c r="AE5" s="40">
        <v>520493.13575999998</v>
      </c>
      <c r="AF5" s="40">
        <v>563155.63433999999</v>
      </c>
      <c r="AG5" s="40">
        <v>580648.92911999999</v>
      </c>
      <c r="AH5" s="40">
        <v>0</v>
      </c>
      <c r="AI5" s="40">
        <v>0</v>
      </c>
      <c r="AJ5" s="40">
        <v>0</v>
      </c>
      <c r="AK5" s="40">
        <v>0</v>
      </c>
      <c r="AL5" s="40">
        <v>0</v>
      </c>
    </row>
    <row r="6" spans="1:52" ht="14">
      <c r="A6" s="18"/>
      <c r="B6" s="23" t="s">
        <v>115</v>
      </c>
      <c r="C6" s="40">
        <v>958093.1716004936</v>
      </c>
      <c r="D6" s="40">
        <v>814531.78298049513</v>
      </c>
      <c r="E6" s="40">
        <v>820719.82077405648</v>
      </c>
      <c r="F6" s="40">
        <v>1000142.2729074702</v>
      </c>
      <c r="G6" s="40">
        <v>1054720.5785234522</v>
      </c>
      <c r="H6" s="40">
        <v>1018379.6620324509</v>
      </c>
      <c r="I6" s="40">
        <v>958860.58212853316</v>
      </c>
      <c r="J6" s="40">
        <v>951482.8620707735</v>
      </c>
      <c r="K6" s="40">
        <v>885873.2925105982</v>
      </c>
      <c r="L6" s="40">
        <v>869352.40706860495</v>
      </c>
      <c r="M6" s="40">
        <v>820803.80012892175</v>
      </c>
      <c r="N6" s="40">
        <v>950185.92776811845</v>
      </c>
      <c r="O6" s="40">
        <v>954961.61500169383</v>
      </c>
      <c r="P6" s="40">
        <v>951511.72656800575</v>
      </c>
      <c r="Q6" s="40">
        <v>982859.57078160916</v>
      </c>
      <c r="R6" s="40">
        <v>967526.64532490727</v>
      </c>
      <c r="S6" s="40">
        <v>1027263.5671215486</v>
      </c>
      <c r="T6" s="40">
        <v>1005415.2233125247</v>
      </c>
      <c r="U6" s="40">
        <v>1010297.5275770255</v>
      </c>
      <c r="V6" s="40">
        <v>0</v>
      </c>
      <c r="W6" s="40">
        <v>0</v>
      </c>
      <c r="X6" s="40">
        <v>0</v>
      </c>
      <c r="Y6" s="40">
        <v>0</v>
      </c>
      <c r="Z6" s="40">
        <v>0</v>
      </c>
      <c r="AA6" s="40">
        <v>0</v>
      </c>
      <c r="AB6" s="40">
        <v>0</v>
      </c>
      <c r="AC6" s="40">
        <v>0</v>
      </c>
      <c r="AD6" s="40">
        <v>0</v>
      </c>
      <c r="AE6" s="40">
        <v>0</v>
      </c>
      <c r="AF6" s="40">
        <v>0</v>
      </c>
      <c r="AG6" s="40">
        <v>0</v>
      </c>
      <c r="AH6" s="40">
        <v>0</v>
      </c>
      <c r="AI6" s="40">
        <v>0</v>
      </c>
      <c r="AJ6" s="40">
        <v>0</v>
      </c>
      <c r="AK6" s="40">
        <v>0</v>
      </c>
      <c r="AL6" s="40">
        <v>0</v>
      </c>
    </row>
    <row r="7" spans="1:52" ht="14">
      <c r="A7" s="18"/>
      <c r="B7" s="23" t="s">
        <v>116</v>
      </c>
      <c r="C7" s="40">
        <v>0</v>
      </c>
      <c r="D7" s="40">
        <v>0</v>
      </c>
      <c r="E7" s="40">
        <v>0</v>
      </c>
      <c r="F7" s="40">
        <v>0</v>
      </c>
      <c r="G7" s="40">
        <v>246711.47369336395</v>
      </c>
      <c r="H7" s="40">
        <v>491090.09876857162</v>
      </c>
      <c r="I7" s="40">
        <v>497612.91961431655</v>
      </c>
      <c r="J7" s="40">
        <v>429676.87460377766</v>
      </c>
      <c r="K7" s="40">
        <v>461358.31506533746</v>
      </c>
      <c r="L7" s="40">
        <v>608654.65406196273</v>
      </c>
      <c r="M7" s="40">
        <v>366751.14825763128</v>
      </c>
      <c r="N7" s="40">
        <v>354213.9622087382</v>
      </c>
      <c r="O7" s="40">
        <v>412539.91207827826</v>
      </c>
      <c r="P7" s="40">
        <v>340142.83353792573</v>
      </c>
      <c r="Q7" s="40">
        <v>600794.99973152205</v>
      </c>
      <c r="R7" s="40">
        <v>585040.58805049234</v>
      </c>
      <c r="S7" s="40">
        <v>860338.06640399783</v>
      </c>
      <c r="T7" s="40">
        <v>575370.50985533569</v>
      </c>
      <c r="U7" s="40">
        <v>412884.25173187564</v>
      </c>
      <c r="V7" s="40">
        <v>696184.51798830298</v>
      </c>
      <c r="W7" s="40">
        <v>727092.20520471619</v>
      </c>
      <c r="X7" s="40">
        <v>631106.26339767745</v>
      </c>
      <c r="Y7" s="40">
        <v>415648.0024858393</v>
      </c>
      <c r="Z7" s="40">
        <v>739621.60593441059</v>
      </c>
      <c r="AA7" s="40">
        <v>841223.75398687378</v>
      </c>
      <c r="AB7" s="40">
        <v>768999.69826370373</v>
      </c>
      <c r="AC7" s="40">
        <v>658502.86551965913</v>
      </c>
      <c r="AD7" s="40">
        <v>482625.00493554689</v>
      </c>
      <c r="AE7" s="40">
        <v>353481.80175547017</v>
      </c>
      <c r="AF7" s="40">
        <v>592660.25706973753</v>
      </c>
      <c r="AG7" s="40">
        <v>634158.85367008916</v>
      </c>
      <c r="AH7" s="40">
        <v>0</v>
      </c>
      <c r="AI7" s="40">
        <v>0</v>
      </c>
      <c r="AJ7" s="40">
        <v>0</v>
      </c>
      <c r="AK7" s="40">
        <v>0</v>
      </c>
      <c r="AL7" s="40">
        <v>0</v>
      </c>
    </row>
    <row r="8" spans="1:52" ht="14">
      <c r="A8" s="18"/>
      <c r="B8" s="23" t="s">
        <v>117</v>
      </c>
      <c r="C8" s="40">
        <v>124299.1119565573</v>
      </c>
      <c r="D8" s="40">
        <v>119163.26934216573</v>
      </c>
      <c r="E8" s="40">
        <v>118394.70275385928</v>
      </c>
      <c r="F8" s="40">
        <v>118640.75105401847</v>
      </c>
      <c r="G8" s="40">
        <v>117596.82394957733</v>
      </c>
      <c r="H8" s="40">
        <v>121556.39417849797</v>
      </c>
      <c r="I8" s="40">
        <v>119231.57045382039</v>
      </c>
      <c r="J8" s="40">
        <v>120286.02869369421</v>
      </c>
      <c r="K8" s="40">
        <v>121018.36335295196</v>
      </c>
      <c r="L8" s="40">
        <v>118157.56801863019</v>
      </c>
      <c r="M8" s="40">
        <v>116913.14319189558</v>
      </c>
      <c r="N8" s="40">
        <v>115996.11058387042</v>
      </c>
      <c r="O8" s="40">
        <v>116164.59572440165</v>
      </c>
      <c r="P8" s="40">
        <v>112599.97040415298</v>
      </c>
      <c r="Q8" s="40">
        <v>111648.5843412403</v>
      </c>
      <c r="R8" s="40">
        <v>109685.48592605455</v>
      </c>
      <c r="S8" s="40">
        <v>107361.14262653512</v>
      </c>
      <c r="T8" s="40">
        <v>103913.03202855075</v>
      </c>
      <c r="U8" s="40">
        <v>99105.052043979071</v>
      </c>
      <c r="V8" s="40">
        <v>86851.591820276124</v>
      </c>
      <c r="W8" s="40">
        <v>90924.916187035022</v>
      </c>
      <c r="X8" s="40">
        <v>88144.237361334934</v>
      </c>
      <c r="Y8" s="40">
        <v>86275.030563579901</v>
      </c>
      <c r="Z8" s="40">
        <v>86593.821415720216</v>
      </c>
      <c r="AA8" s="40">
        <v>86729.619793191552</v>
      </c>
      <c r="AB8" s="40">
        <v>82894.747044851043</v>
      </c>
      <c r="AC8" s="40">
        <v>84293.736122893199</v>
      </c>
      <c r="AD8" s="40">
        <v>80095.898521708732</v>
      </c>
      <c r="AE8" s="40">
        <v>78458.681628581602</v>
      </c>
      <c r="AF8" s="40">
        <v>75522.754585339339</v>
      </c>
      <c r="AG8" s="40">
        <v>70394.234984123948</v>
      </c>
      <c r="AH8" s="40">
        <v>0</v>
      </c>
      <c r="AI8" s="40">
        <v>0</v>
      </c>
      <c r="AJ8" s="40">
        <v>0</v>
      </c>
      <c r="AK8" s="40">
        <v>0</v>
      </c>
      <c r="AL8" s="40">
        <v>0</v>
      </c>
    </row>
    <row r="9" spans="1:52" ht="14">
      <c r="A9" s="18"/>
      <c r="B9" s="23" t="s">
        <v>118</v>
      </c>
      <c r="C9" s="40">
        <v>0</v>
      </c>
      <c r="D9" s="40">
        <v>0</v>
      </c>
      <c r="E9" s="40">
        <v>0</v>
      </c>
      <c r="F9" s="40">
        <v>0</v>
      </c>
      <c r="G9" s="40">
        <v>0</v>
      </c>
      <c r="H9" s="40">
        <v>0</v>
      </c>
      <c r="I9" s="40">
        <v>0</v>
      </c>
      <c r="J9" s="40">
        <v>0</v>
      </c>
      <c r="K9" s="40">
        <v>0</v>
      </c>
      <c r="L9" s="40">
        <v>0</v>
      </c>
      <c r="M9" s="40">
        <v>0</v>
      </c>
      <c r="N9" s="40">
        <v>0</v>
      </c>
      <c r="O9" s="40">
        <v>0</v>
      </c>
      <c r="P9" s="40">
        <v>0</v>
      </c>
      <c r="Q9" s="40">
        <v>0</v>
      </c>
      <c r="R9" s="40">
        <v>0</v>
      </c>
      <c r="S9" s="40">
        <v>0</v>
      </c>
      <c r="T9" s="40">
        <v>0</v>
      </c>
      <c r="U9" s="40">
        <v>0</v>
      </c>
      <c r="V9" s="40">
        <v>0</v>
      </c>
      <c r="W9" s="40">
        <v>0</v>
      </c>
      <c r="X9" s="40">
        <v>0</v>
      </c>
      <c r="Y9" s="40">
        <v>0</v>
      </c>
      <c r="Z9" s="40">
        <v>0</v>
      </c>
      <c r="AA9" s="40">
        <v>0</v>
      </c>
      <c r="AB9" s="40">
        <v>0</v>
      </c>
      <c r="AC9" s="40">
        <v>0</v>
      </c>
      <c r="AD9" s="40">
        <v>0</v>
      </c>
      <c r="AE9" s="40">
        <v>0</v>
      </c>
      <c r="AF9" s="40">
        <v>0</v>
      </c>
      <c r="AG9" s="40">
        <v>0</v>
      </c>
      <c r="AH9" s="40">
        <v>0</v>
      </c>
      <c r="AI9" s="40">
        <v>0</v>
      </c>
      <c r="AJ9" s="40">
        <v>0</v>
      </c>
      <c r="AK9" s="40">
        <v>0</v>
      </c>
      <c r="AL9" s="40">
        <v>0</v>
      </c>
    </row>
    <row r="10" spans="1:52" ht="14">
      <c r="A10" s="18"/>
      <c r="B10" s="23" t="s">
        <v>119</v>
      </c>
      <c r="C10" s="40">
        <v>0</v>
      </c>
      <c r="D10" s="40">
        <v>0</v>
      </c>
      <c r="E10" s="40">
        <v>0</v>
      </c>
      <c r="F10" s="40">
        <v>0</v>
      </c>
      <c r="G10" s="40">
        <v>0</v>
      </c>
      <c r="H10" s="40">
        <v>0</v>
      </c>
      <c r="I10" s="40">
        <v>0</v>
      </c>
      <c r="J10" s="40">
        <v>6661883.3536474966</v>
      </c>
      <c r="K10" s="40">
        <v>6126773.554248061</v>
      </c>
      <c r="L10" s="40">
        <v>5608398.2947120797</v>
      </c>
      <c r="M10" s="40">
        <v>5250541.0277191587</v>
      </c>
      <c r="N10" s="40">
        <v>4126206.7547546262</v>
      </c>
      <c r="O10" s="40">
        <v>4966100.2579413913</v>
      </c>
      <c r="P10" s="40">
        <v>5339777.209931598</v>
      </c>
      <c r="Q10" s="40">
        <v>3209462.2877874966</v>
      </c>
      <c r="R10" s="40">
        <v>3145333.8831410659</v>
      </c>
      <c r="S10" s="40">
        <v>2903435.5132302232</v>
      </c>
      <c r="T10" s="40">
        <v>2740322.9377804198</v>
      </c>
      <c r="U10" s="40">
        <v>2600998.2721987814</v>
      </c>
      <c r="V10" s="40">
        <v>1253030.783882645</v>
      </c>
      <c r="W10" s="40">
        <v>2611331.8466154481</v>
      </c>
      <c r="X10" s="40">
        <v>2611331.8466154481</v>
      </c>
      <c r="Y10" s="40">
        <v>2611331.8466154481</v>
      </c>
      <c r="Z10" s="40">
        <v>2611331.8466154481</v>
      </c>
      <c r="AA10" s="40">
        <v>2611331.8466154481</v>
      </c>
      <c r="AB10" s="40">
        <v>2611331.8466154481</v>
      </c>
      <c r="AC10" s="40">
        <v>2611331.8466154481</v>
      </c>
      <c r="AD10" s="40">
        <v>2611331.8466154481</v>
      </c>
      <c r="AE10" s="40">
        <v>2611331.8466154481</v>
      </c>
      <c r="AF10" s="40">
        <v>2611331.8466154481</v>
      </c>
      <c r="AG10" s="40">
        <v>2611331.8466154481</v>
      </c>
      <c r="AH10" s="40">
        <v>0</v>
      </c>
      <c r="AI10" s="40">
        <v>0</v>
      </c>
      <c r="AJ10" s="40">
        <v>0</v>
      </c>
      <c r="AK10" s="40">
        <v>0</v>
      </c>
      <c r="AL10" s="40">
        <v>0</v>
      </c>
    </row>
    <row r="11" spans="1:52" ht="14">
      <c r="A11" s="18"/>
      <c r="B11" s="23" t="s">
        <v>120</v>
      </c>
      <c r="C11" s="40">
        <v>190789.76901713302</v>
      </c>
      <c r="D11" s="40">
        <v>191200.21699005662</v>
      </c>
      <c r="E11" s="40">
        <v>200804.29110565718</v>
      </c>
      <c r="F11" s="40">
        <v>218990.09481182171</v>
      </c>
      <c r="G11" s="40">
        <v>247717.99529800651</v>
      </c>
      <c r="H11" s="40">
        <v>240979.09201777336</v>
      </c>
      <c r="I11" s="40">
        <v>248634.18260651786</v>
      </c>
      <c r="J11" s="40">
        <v>236627.48036807805</v>
      </c>
      <c r="K11" s="40">
        <v>262731.98704371008</v>
      </c>
      <c r="L11" s="40">
        <v>260273.25149602169</v>
      </c>
      <c r="M11" s="40">
        <v>224610.90471594088</v>
      </c>
      <c r="N11" s="40">
        <v>164525.98679905635</v>
      </c>
      <c r="O11" s="40">
        <v>196764.89073884871</v>
      </c>
      <c r="P11" s="40">
        <v>172994.10413565193</v>
      </c>
      <c r="Q11" s="40">
        <v>191185.77311747195</v>
      </c>
      <c r="R11" s="40">
        <v>188511.48718488018</v>
      </c>
      <c r="S11" s="40">
        <v>205750.1863642378</v>
      </c>
      <c r="T11" s="40">
        <v>204703.13006204448</v>
      </c>
      <c r="U11" s="40">
        <v>188490.74856565596</v>
      </c>
      <c r="V11" s="40">
        <v>184629.26495569825</v>
      </c>
      <c r="W11" s="40">
        <v>201379.91778937861</v>
      </c>
      <c r="X11" s="40">
        <v>233447.9726262686</v>
      </c>
      <c r="Y11" s="40">
        <v>238237.16973822514</v>
      </c>
      <c r="Z11" s="40">
        <v>244587.77671202214</v>
      </c>
      <c r="AA11" s="40">
        <v>286355.22190440976</v>
      </c>
      <c r="AB11" s="40">
        <v>294104.30547359254</v>
      </c>
      <c r="AC11" s="40">
        <v>249710.09845034417</v>
      </c>
      <c r="AD11" s="40">
        <v>267472.2415945495</v>
      </c>
      <c r="AE11" s="40">
        <v>289811.74418088445</v>
      </c>
      <c r="AF11" s="40">
        <v>298724.09204079455</v>
      </c>
      <c r="AG11" s="40">
        <v>289659.86009976512</v>
      </c>
      <c r="AH11" s="40">
        <v>0</v>
      </c>
      <c r="AI11" s="40">
        <v>0</v>
      </c>
      <c r="AJ11" s="40">
        <v>0</v>
      </c>
      <c r="AK11" s="40">
        <v>0</v>
      </c>
      <c r="AL11" s="40">
        <v>0</v>
      </c>
    </row>
    <row r="12" spans="1:52" ht="14.5" thickBot="1">
      <c r="A12" s="18"/>
      <c r="B12" s="23" t="s">
        <v>121</v>
      </c>
      <c r="C12" s="40">
        <v>17593.547080764252</v>
      </c>
      <c r="D12" s="40">
        <v>15195.446966582935</v>
      </c>
      <c r="E12" s="40">
        <v>14392.734916647638</v>
      </c>
      <c r="F12" s="40">
        <v>14416.747857197233</v>
      </c>
      <c r="G12" s="40">
        <v>12265.836553246554</v>
      </c>
      <c r="H12" s="40">
        <v>11618.271492730455</v>
      </c>
      <c r="I12" s="40">
        <v>10301.465403060058</v>
      </c>
      <c r="J12" s="40">
        <v>9234.3911243053972</v>
      </c>
      <c r="K12" s="40">
        <v>10461.233295272894</v>
      </c>
      <c r="L12" s="40">
        <v>8224.5210017507816</v>
      </c>
      <c r="M12" s="40">
        <v>8514.9410215422085</v>
      </c>
      <c r="N12" s="40">
        <v>9685.6485651214134</v>
      </c>
      <c r="O12" s="40">
        <v>8877.5773920986521</v>
      </c>
      <c r="P12" s="40">
        <v>8298.5834969932257</v>
      </c>
      <c r="Q12" s="40">
        <v>7506.6874628910709</v>
      </c>
      <c r="R12" s="40">
        <v>8390.4236431453155</v>
      </c>
      <c r="S12" s="40">
        <v>9280.8226079013475</v>
      </c>
      <c r="T12" s="40">
        <v>8190.6077947781077</v>
      </c>
      <c r="U12" s="40">
        <v>9103.2907208647339</v>
      </c>
      <c r="V12" s="40">
        <v>8696.5422242521126</v>
      </c>
      <c r="W12" s="40">
        <v>6821.8438608510305</v>
      </c>
      <c r="X12" s="40">
        <v>9099.4612773083663</v>
      </c>
      <c r="Y12" s="40">
        <v>9620.5323894344237</v>
      </c>
      <c r="Z12" s="40">
        <v>9702.497602192283</v>
      </c>
      <c r="AA12" s="40">
        <v>9431.231529268478</v>
      </c>
      <c r="AB12" s="40">
        <v>9924.8572733500805</v>
      </c>
      <c r="AC12" s="40">
        <v>10847.036285301037</v>
      </c>
      <c r="AD12" s="40">
        <v>10432.971675592727</v>
      </c>
      <c r="AE12" s="40">
        <v>10678.329557062194</v>
      </c>
      <c r="AF12" s="40">
        <v>10923.687438531659</v>
      </c>
      <c r="AG12" s="40">
        <v>11169.045320001032</v>
      </c>
      <c r="AH12" s="40">
        <v>0</v>
      </c>
      <c r="AI12" s="40">
        <v>0</v>
      </c>
      <c r="AJ12" s="40">
        <v>0</v>
      </c>
      <c r="AK12" s="40">
        <v>0</v>
      </c>
      <c r="AL12" s="40">
        <v>0</v>
      </c>
    </row>
    <row r="13" spans="1:52" ht="14">
      <c r="A13" s="18"/>
      <c r="B13" s="41" t="s">
        <v>122</v>
      </c>
      <c r="C13" s="42">
        <f>SUM(C14:C15,C24)</f>
        <v>0</v>
      </c>
      <c r="D13" s="42">
        <f t="shared" ref="D13:AG13" si="2">SUM(D14:D15,D24)</f>
        <v>0</v>
      </c>
      <c r="E13" s="42">
        <f t="shared" si="2"/>
        <v>0</v>
      </c>
      <c r="F13" s="42">
        <f t="shared" si="2"/>
        <v>0</v>
      </c>
      <c r="G13" s="42">
        <f t="shared" si="2"/>
        <v>0</v>
      </c>
      <c r="H13" s="42">
        <f t="shared" si="2"/>
        <v>0</v>
      </c>
      <c r="I13" s="42">
        <f t="shared" si="2"/>
        <v>0</v>
      </c>
      <c r="J13" s="42">
        <f t="shared" si="2"/>
        <v>0</v>
      </c>
      <c r="K13" s="42">
        <f t="shared" si="2"/>
        <v>0</v>
      </c>
      <c r="L13" s="42">
        <f t="shared" si="2"/>
        <v>0</v>
      </c>
      <c r="M13" s="42">
        <f t="shared" si="2"/>
        <v>0</v>
      </c>
      <c r="N13" s="42">
        <f t="shared" si="2"/>
        <v>0</v>
      </c>
      <c r="O13" s="42">
        <f t="shared" si="2"/>
        <v>0</v>
      </c>
      <c r="P13" s="42">
        <f t="shared" si="2"/>
        <v>0</v>
      </c>
      <c r="Q13" s="42">
        <f t="shared" si="2"/>
        <v>0</v>
      </c>
      <c r="R13" s="42">
        <f t="shared" si="2"/>
        <v>0</v>
      </c>
      <c r="S13" s="42">
        <f t="shared" si="2"/>
        <v>0</v>
      </c>
      <c r="T13" s="42">
        <f t="shared" si="2"/>
        <v>0</v>
      </c>
      <c r="U13" s="42">
        <f t="shared" si="2"/>
        <v>0</v>
      </c>
      <c r="V13" s="42">
        <f t="shared" si="2"/>
        <v>0</v>
      </c>
      <c r="W13" s="42">
        <f t="shared" si="2"/>
        <v>0</v>
      </c>
      <c r="X13" s="42">
        <f t="shared" si="2"/>
        <v>0</v>
      </c>
      <c r="Y13" s="42">
        <f t="shared" si="2"/>
        <v>0</v>
      </c>
      <c r="Z13" s="42">
        <f t="shared" si="2"/>
        <v>0</v>
      </c>
      <c r="AA13" s="42">
        <f t="shared" si="2"/>
        <v>0</v>
      </c>
      <c r="AB13" s="42">
        <f t="shared" si="2"/>
        <v>0</v>
      </c>
      <c r="AC13" s="42">
        <f t="shared" si="2"/>
        <v>0</v>
      </c>
      <c r="AD13" s="42">
        <f t="shared" si="2"/>
        <v>0</v>
      </c>
      <c r="AE13" s="42">
        <f t="shared" si="2"/>
        <v>0</v>
      </c>
      <c r="AF13" s="42">
        <f t="shared" si="2"/>
        <v>0</v>
      </c>
      <c r="AG13" s="42">
        <f t="shared" si="2"/>
        <v>0</v>
      </c>
      <c r="AH13" s="42">
        <f t="shared" ref="AH13:AL13" si="3">SUM(AH14:AH15,AH24)</f>
        <v>0</v>
      </c>
      <c r="AI13" s="42">
        <f t="shared" si="3"/>
        <v>0</v>
      </c>
      <c r="AJ13" s="42">
        <f t="shared" si="3"/>
        <v>0</v>
      </c>
      <c r="AK13" s="42">
        <f t="shared" si="3"/>
        <v>0</v>
      </c>
      <c r="AL13" s="42">
        <f t="shared" si="3"/>
        <v>0</v>
      </c>
    </row>
    <row r="14" spans="1:52" ht="14">
      <c r="A14" s="18"/>
      <c r="B14" s="23" t="s">
        <v>123</v>
      </c>
      <c r="C14" s="40">
        <v>0</v>
      </c>
      <c r="D14" s="40">
        <v>0</v>
      </c>
      <c r="E14" s="40">
        <v>0</v>
      </c>
      <c r="F14" s="40">
        <v>0</v>
      </c>
      <c r="G14" s="40">
        <v>0</v>
      </c>
      <c r="H14" s="40">
        <v>0</v>
      </c>
      <c r="I14" s="40">
        <v>0</v>
      </c>
      <c r="J14" s="40">
        <v>0</v>
      </c>
      <c r="K14" s="40">
        <v>0</v>
      </c>
      <c r="L14" s="40">
        <v>0</v>
      </c>
      <c r="M14" s="40">
        <v>0</v>
      </c>
      <c r="N14" s="40">
        <v>0</v>
      </c>
      <c r="O14" s="40">
        <v>0</v>
      </c>
      <c r="P14" s="40">
        <v>0</v>
      </c>
      <c r="Q14" s="40">
        <v>0</v>
      </c>
      <c r="R14" s="40">
        <v>0</v>
      </c>
      <c r="S14" s="40">
        <v>0</v>
      </c>
      <c r="T14" s="40">
        <v>0</v>
      </c>
      <c r="U14" s="40">
        <v>0</v>
      </c>
      <c r="V14" s="40">
        <v>0</v>
      </c>
      <c r="W14" s="40">
        <v>0</v>
      </c>
      <c r="X14" s="40">
        <v>0</v>
      </c>
      <c r="Y14" s="40">
        <v>0</v>
      </c>
      <c r="Z14" s="40">
        <v>0</v>
      </c>
      <c r="AA14" s="40">
        <v>0</v>
      </c>
      <c r="AB14" s="40">
        <v>0</v>
      </c>
      <c r="AC14" s="40">
        <v>0</v>
      </c>
      <c r="AD14" s="40">
        <v>0</v>
      </c>
      <c r="AE14" s="40">
        <v>0</v>
      </c>
      <c r="AF14" s="40">
        <v>0</v>
      </c>
      <c r="AG14" s="40">
        <v>0</v>
      </c>
      <c r="AH14" s="40">
        <v>0</v>
      </c>
      <c r="AI14" s="40">
        <v>0</v>
      </c>
      <c r="AJ14" s="40">
        <v>0</v>
      </c>
      <c r="AK14" s="40">
        <v>0</v>
      </c>
      <c r="AL14" s="40">
        <v>0</v>
      </c>
    </row>
    <row r="15" spans="1:52" ht="14.5" thickBot="1">
      <c r="A15" s="18"/>
      <c r="B15" s="23" t="s">
        <v>124</v>
      </c>
      <c r="C15" s="40">
        <v>0</v>
      </c>
      <c r="D15" s="40">
        <v>0</v>
      </c>
      <c r="E15" s="40">
        <v>0</v>
      </c>
      <c r="F15" s="40">
        <v>0</v>
      </c>
      <c r="G15" s="40">
        <v>0</v>
      </c>
      <c r="H15" s="40">
        <v>0</v>
      </c>
      <c r="I15" s="40">
        <v>0</v>
      </c>
      <c r="J15" s="40">
        <v>0</v>
      </c>
      <c r="K15" s="40">
        <v>0</v>
      </c>
      <c r="L15" s="40">
        <v>0</v>
      </c>
      <c r="M15" s="40">
        <v>0</v>
      </c>
      <c r="N15" s="40">
        <v>0</v>
      </c>
      <c r="O15" s="40">
        <v>0</v>
      </c>
      <c r="P15" s="40">
        <v>0</v>
      </c>
      <c r="Q15" s="40">
        <v>0</v>
      </c>
      <c r="R15" s="40">
        <v>0</v>
      </c>
      <c r="S15" s="40">
        <v>0</v>
      </c>
      <c r="T15" s="40">
        <v>0</v>
      </c>
      <c r="U15" s="40">
        <v>0</v>
      </c>
      <c r="V15" s="40">
        <v>0</v>
      </c>
      <c r="W15" s="40">
        <v>0</v>
      </c>
      <c r="X15" s="40">
        <v>0</v>
      </c>
      <c r="Y15" s="40">
        <v>0</v>
      </c>
      <c r="Z15" s="40">
        <v>0</v>
      </c>
      <c r="AA15" s="40">
        <v>0</v>
      </c>
      <c r="AB15" s="40">
        <v>0</v>
      </c>
      <c r="AC15" s="40">
        <v>0</v>
      </c>
      <c r="AD15" s="40">
        <v>0</v>
      </c>
      <c r="AE15" s="40">
        <v>0</v>
      </c>
      <c r="AF15" s="40">
        <v>0</v>
      </c>
      <c r="AG15" s="40">
        <v>0</v>
      </c>
      <c r="AH15" s="40">
        <v>0</v>
      </c>
      <c r="AI15" s="40">
        <v>0</v>
      </c>
      <c r="AJ15" s="40">
        <v>0</v>
      </c>
      <c r="AK15" s="40">
        <v>0</v>
      </c>
      <c r="AL15" s="40">
        <v>0</v>
      </c>
    </row>
    <row r="16" spans="1:52" ht="14">
      <c r="A16" s="18"/>
      <c r="B16" s="43" t="s">
        <v>125</v>
      </c>
      <c r="C16" s="44">
        <f>SUM(C17:C22,C25)</f>
        <v>993945.40829774085</v>
      </c>
      <c r="D16" s="44">
        <f t="shared" ref="D16:AG16" si="4">SUM(D17:D22,D25)</f>
        <v>990672.46048659272</v>
      </c>
      <c r="E16" s="44">
        <f t="shared" si="4"/>
        <v>1009956.6154143986</v>
      </c>
      <c r="F16" s="44">
        <f t="shared" si="4"/>
        <v>1196946.6250931935</v>
      </c>
      <c r="G16" s="44">
        <f t="shared" si="4"/>
        <v>1570050.7714815326</v>
      </c>
      <c r="H16" s="44">
        <f t="shared" si="4"/>
        <v>2349710.543930999</v>
      </c>
      <c r="I16" s="44">
        <f t="shared" si="4"/>
        <v>2861191.1731790183</v>
      </c>
      <c r="J16" s="44">
        <f t="shared" si="4"/>
        <v>3366596.6790034254</v>
      </c>
      <c r="K16" s="44">
        <f t="shared" si="4"/>
        <v>3682186.1844055112</v>
      </c>
      <c r="L16" s="44">
        <f t="shared" si="4"/>
        <v>4125606.7726448253</v>
      </c>
      <c r="M16" s="44">
        <f t="shared" si="4"/>
        <v>4442380.997634911</v>
      </c>
      <c r="N16" s="44">
        <f t="shared" si="4"/>
        <v>4756025.0800276008</v>
      </c>
      <c r="O16" s="44">
        <f t="shared" si="4"/>
        <v>4944243.1666068686</v>
      </c>
      <c r="P16" s="44">
        <f t="shared" si="4"/>
        <v>5082917.469322593</v>
      </c>
      <c r="Q16" s="44">
        <f t="shared" si="4"/>
        <v>5211623.5564449029</v>
      </c>
      <c r="R16" s="44">
        <f t="shared" si="4"/>
        <v>5358971.6549770711</v>
      </c>
      <c r="S16" s="44">
        <f t="shared" si="4"/>
        <v>5574306.2798414715</v>
      </c>
      <c r="T16" s="44">
        <f t="shared" si="4"/>
        <v>5858626.5258187829</v>
      </c>
      <c r="U16" s="44">
        <f t="shared" si="4"/>
        <v>6222168.2781912824</v>
      </c>
      <c r="V16" s="44">
        <f t="shared" si="4"/>
        <v>5457548.7892822567</v>
      </c>
      <c r="W16" s="44">
        <f t="shared" si="4"/>
        <v>6912605.8429003768</v>
      </c>
      <c r="X16" s="44">
        <f t="shared" si="4"/>
        <v>6780099.9295717292</v>
      </c>
      <c r="Y16" s="44">
        <f t="shared" si="4"/>
        <v>7221179.1862668796</v>
      </c>
      <c r="Z16" s="44">
        <f t="shared" si="4"/>
        <v>6452280.5204107799</v>
      </c>
      <c r="AA16" s="44">
        <f t="shared" si="4"/>
        <v>6205761.4521048311</v>
      </c>
      <c r="AB16" s="44">
        <f t="shared" si="4"/>
        <v>6270535.5197389824</v>
      </c>
      <c r="AC16" s="44">
        <f t="shared" si="4"/>
        <v>6251899.4634456234</v>
      </c>
      <c r="AD16" s="44">
        <f t="shared" si="4"/>
        <v>6168568.4270592611</v>
      </c>
      <c r="AE16" s="44">
        <f t="shared" si="4"/>
        <v>6140865.423907225</v>
      </c>
      <c r="AF16" s="44">
        <f t="shared" si="4"/>
        <v>6230303.8335552495</v>
      </c>
      <c r="AG16" s="44">
        <f t="shared" si="4"/>
        <v>6279679.2521486804</v>
      </c>
      <c r="AH16" s="44">
        <f t="shared" ref="AH16:AL16" si="5">SUM(AH17:AH22,AH25)</f>
        <v>0</v>
      </c>
      <c r="AI16" s="44">
        <f t="shared" si="5"/>
        <v>0</v>
      </c>
      <c r="AJ16" s="44">
        <f t="shared" si="5"/>
        <v>0</v>
      </c>
      <c r="AK16" s="44">
        <f t="shared" si="5"/>
        <v>0</v>
      </c>
      <c r="AL16" s="44">
        <f t="shared" si="5"/>
        <v>0</v>
      </c>
    </row>
    <row r="17" spans="1:38" ht="14">
      <c r="A17" s="18"/>
      <c r="B17" s="23" t="s">
        <v>126</v>
      </c>
      <c r="C17" s="40">
        <v>9628.4555172379714</v>
      </c>
      <c r="D17" s="40">
        <v>20195.071913179134</v>
      </c>
      <c r="E17" s="40">
        <v>78648.920441594921</v>
      </c>
      <c r="F17" s="40">
        <v>283553.83493437927</v>
      </c>
      <c r="G17" s="40">
        <v>704202.47327735892</v>
      </c>
      <c r="H17" s="40">
        <v>1540640.5020427508</v>
      </c>
      <c r="I17" s="40">
        <v>2142721.7280788533</v>
      </c>
      <c r="J17" s="40">
        <v>2711699.1274071583</v>
      </c>
      <c r="K17" s="40">
        <v>3110926.5854657772</v>
      </c>
      <c r="L17" s="40">
        <v>3531232.482383165</v>
      </c>
      <c r="M17" s="40">
        <v>3886869.7266463833</v>
      </c>
      <c r="N17" s="40">
        <v>4222497.747881908</v>
      </c>
      <c r="O17" s="40">
        <v>4448283.7270780439</v>
      </c>
      <c r="P17" s="40">
        <v>4646920.7270641727</v>
      </c>
      <c r="Q17" s="40">
        <v>4815983.2538815979</v>
      </c>
      <c r="R17" s="40">
        <v>5000993.8708583638</v>
      </c>
      <c r="S17" s="40">
        <v>5281892.19470526</v>
      </c>
      <c r="T17" s="40">
        <v>5606078.4757160079</v>
      </c>
      <c r="U17" s="40">
        <v>5968398.2519978797</v>
      </c>
      <c r="V17" s="40">
        <v>5214630.035257576</v>
      </c>
      <c r="W17" s="40">
        <v>6664387.0791723635</v>
      </c>
      <c r="X17" s="40">
        <v>6508063.2330194898</v>
      </c>
      <c r="Y17" s="40">
        <v>6981440.1628695223</v>
      </c>
      <c r="Z17" s="40">
        <v>6238003.1160673164</v>
      </c>
      <c r="AA17" s="40">
        <v>5991048.9892956847</v>
      </c>
      <c r="AB17" s="40">
        <v>6102386.4282129407</v>
      </c>
      <c r="AC17" s="40">
        <v>6077448.1144197462</v>
      </c>
      <c r="AD17" s="40">
        <v>6001697.6425580811</v>
      </c>
      <c r="AE17" s="40">
        <v>5985187.6383666098</v>
      </c>
      <c r="AF17" s="40">
        <v>6063337.7180632874</v>
      </c>
      <c r="AG17" s="40">
        <v>6131751.2453260263</v>
      </c>
      <c r="AH17" s="40">
        <v>0</v>
      </c>
      <c r="AI17" s="40">
        <v>0</v>
      </c>
      <c r="AJ17" s="40">
        <v>0</v>
      </c>
      <c r="AK17" s="40">
        <v>0</v>
      </c>
      <c r="AL17" s="40">
        <v>0</v>
      </c>
    </row>
    <row r="18" spans="1:38" ht="14">
      <c r="A18" s="18"/>
      <c r="B18" s="23" t="s">
        <v>127</v>
      </c>
      <c r="C18" s="40">
        <v>2602.7185823384193</v>
      </c>
      <c r="D18" s="40">
        <v>2602.9128365356605</v>
      </c>
      <c r="E18" s="40">
        <v>2603.1070907329017</v>
      </c>
      <c r="F18" s="40">
        <v>3253.9809905147486</v>
      </c>
      <c r="G18" s="40">
        <v>3579.5150675042923</v>
      </c>
      <c r="H18" s="40">
        <v>4521.7497292224798</v>
      </c>
      <c r="I18" s="40">
        <v>5021.3220932613694</v>
      </c>
      <c r="J18" s="40">
        <v>5306.6615180320978</v>
      </c>
      <c r="K18" s="40">
        <v>18825.636075241749</v>
      </c>
      <c r="L18" s="40">
        <v>32795.908881251336</v>
      </c>
      <c r="M18" s="40">
        <v>40024.303919808364</v>
      </c>
      <c r="N18" s="40">
        <v>38256.677605465135</v>
      </c>
      <c r="O18" s="40">
        <v>50621.468472266715</v>
      </c>
      <c r="P18" s="40">
        <v>37888.619395227746</v>
      </c>
      <c r="Q18" s="40">
        <v>26681.986369977429</v>
      </c>
      <c r="R18" s="40">
        <v>17078.404081086741</v>
      </c>
      <c r="S18" s="40">
        <v>10461.767557938654</v>
      </c>
      <c r="T18" s="40">
        <v>2507.4709586872159</v>
      </c>
      <c r="U18" s="40">
        <v>8839.7862249641239</v>
      </c>
      <c r="V18" s="40">
        <v>11894.82139944176</v>
      </c>
      <c r="W18" s="40">
        <v>23217.680648994887</v>
      </c>
      <c r="X18" s="40">
        <v>43391.967234541706</v>
      </c>
      <c r="Y18" s="40">
        <v>54350.191593689589</v>
      </c>
      <c r="Z18" s="40">
        <v>41159.838200712788</v>
      </c>
      <c r="AA18" s="40">
        <v>34238.863728414683</v>
      </c>
      <c r="AB18" s="40">
        <v>25874.897781770404</v>
      </c>
      <c r="AC18" s="40">
        <v>17255.05116975915</v>
      </c>
      <c r="AD18" s="40">
        <v>8868.414517867106</v>
      </c>
      <c r="AE18" s="40">
        <v>9187.5520525751563</v>
      </c>
      <c r="AF18" s="40">
        <v>8490.7047131354611</v>
      </c>
      <c r="AG18" s="40">
        <v>8443.3946018644765</v>
      </c>
      <c r="AH18" s="40">
        <v>0</v>
      </c>
      <c r="AI18" s="40">
        <v>0</v>
      </c>
      <c r="AJ18" s="40">
        <v>0</v>
      </c>
      <c r="AK18" s="40">
        <v>0</v>
      </c>
      <c r="AL18" s="40">
        <v>0</v>
      </c>
    </row>
    <row r="19" spans="1:38" ht="14">
      <c r="A19" s="18"/>
      <c r="B19" s="23" t="s">
        <v>128</v>
      </c>
      <c r="C19" s="40">
        <v>0</v>
      </c>
      <c r="D19" s="40">
        <v>0</v>
      </c>
      <c r="E19" s="40">
        <v>0</v>
      </c>
      <c r="F19" s="40">
        <v>0</v>
      </c>
      <c r="G19" s="40">
        <v>0</v>
      </c>
      <c r="H19" s="40">
        <v>0</v>
      </c>
      <c r="I19" s="40">
        <v>0</v>
      </c>
      <c r="J19" s="40">
        <v>0</v>
      </c>
      <c r="K19" s="40">
        <v>0</v>
      </c>
      <c r="L19" s="40">
        <v>0</v>
      </c>
      <c r="M19" s="40">
        <v>0</v>
      </c>
      <c r="N19" s="40">
        <v>0</v>
      </c>
      <c r="O19" s="40">
        <v>0</v>
      </c>
      <c r="P19" s="40">
        <v>0</v>
      </c>
      <c r="Q19" s="40">
        <v>0</v>
      </c>
      <c r="R19" s="40">
        <v>0</v>
      </c>
      <c r="S19" s="40">
        <v>0</v>
      </c>
      <c r="T19" s="40">
        <v>0</v>
      </c>
      <c r="U19" s="40">
        <v>0</v>
      </c>
      <c r="V19" s="40">
        <v>0</v>
      </c>
      <c r="W19" s="40">
        <v>0</v>
      </c>
      <c r="X19" s="40">
        <v>0</v>
      </c>
      <c r="Y19" s="40">
        <v>0</v>
      </c>
      <c r="Z19" s="40">
        <v>0</v>
      </c>
      <c r="AA19" s="40">
        <v>0</v>
      </c>
      <c r="AB19" s="40">
        <v>0</v>
      </c>
      <c r="AC19" s="40">
        <v>0</v>
      </c>
      <c r="AD19" s="40">
        <v>0</v>
      </c>
      <c r="AE19" s="40">
        <v>0</v>
      </c>
      <c r="AF19" s="40">
        <v>0</v>
      </c>
      <c r="AG19" s="40">
        <v>0</v>
      </c>
      <c r="AH19" s="40">
        <v>0</v>
      </c>
      <c r="AI19" s="40">
        <v>0</v>
      </c>
      <c r="AJ19" s="40">
        <v>0</v>
      </c>
      <c r="AK19" s="40">
        <v>0</v>
      </c>
      <c r="AL19" s="40">
        <v>0</v>
      </c>
    </row>
    <row r="20" spans="1:38" ht="26">
      <c r="A20" s="18"/>
      <c r="B20" s="45" t="s">
        <v>129</v>
      </c>
      <c r="C20" s="40">
        <v>981714.23419816443</v>
      </c>
      <c r="D20" s="40">
        <v>967874.47573687788</v>
      </c>
      <c r="E20" s="40">
        <v>928704.5878820708</v>
      </c>
      <c r="F20" s="40">
        <v>910138.80916829943</v>
      </c>
      <c r="G20" s="40">
        <v>862268.78313666955</v>
      </c>
      <c r="H20" s="40">
        <v>804548.29215902579</v>
      </c>
      <c r="I20" s="40">
        <v>713448.12300690345</v>
      </c>
      <c r="J20" s="40">
        <v>649590.89007823484</v>
      </c>
      <c r="K20" s="40">
        <v>552433.96286449197</v>
      </c>
      <c r="L20" s="40">
        <v>561578.38138040912</v>
      </c>
      <c r="M20" s="40">
        <v>515486.96706871944</v>
      </c>
      <c r="N20" s="40">
        <v>495270.65454022726</v>
      </c>
      <c r="O20" s="40">
        <v>445337.97105655813</v>
      </c>
      <c r="P20" s="40">
        <v>398108.12286319234</v>
      </c>
      <c r="Q20" s="40">
        <v>368958.31619332713</v>
      </c>
      <c r="R20" s="40">
        <v>340899.38003762049</v>
      </c>
      <c r="S20" s="40">
        <v>281952.31757827295</v>
      </c>
      <c r="T20" s="40">
        <v>250040.57914408742</v>
      </c>
      <c r="U20" s="40">
        <v>244930.23996843831</v>
      </c>
      <c r="V20" s="40">
        <v>231023.93262523852</v>
      </c>
      <c r="W20" s="40">
        <v>225001.08307901898</v>
      </c>
      <c r="X20" s="40">
        <v>228644.72931769758</v>
      </c>
      <c r="Y20" s="40">
        <v>185388.83180366724</v>
      </c>
      <c r="Z20" s="40">
        <v>173117.56614275085</v>
      </c>
      <c r="AA20" s="40">
        <v>180473.5990807325</v>
      </c>
      <c r="AB20" s="40">
        <v>142274.19374427106</v>
      </c>
      <c r="AC20" s="40">
        <v>157196.29785611716</v>
      </c>
      <c r="AD20" s="40">
        <v>158002.36998331279</v>
      </c>
      <c r="AE20" s="40">
        <v>146490.23348804013</v>
      </c>
      <c r="AF20" s="40">
        <v>158475.41077882724</v>
      </c>
      <c r="AG20" s="40">
        <v>139484.61222078971</v>
      </c>
      <c r="AH20" s="40">
        <v>0</v>
      </c>
      <c r="AI20" s="40">
        <v>0</v>
      </c>
      <c r="AJ20" s="40">
        <v>0</v>
      </c>
      <c r="AK20" s="40">
        <v>0</v>
      </c>
      <c r="AL20" s="40">
        <v>0</v>
      </c>
    </row>
    <row r="21" spans="1:38" ht="14">
      <c r="A21" s="18"/>
      <c r="B21" s="23" t="s">
        <v>130</v>
      </c>
      <c r="C21" s="40">
        <v>0</v>
      </c>
      <c r="D21" s="40">
        <v>0</v>
      </c>
      <c r="E21" s="40">
        <v>0</v>
      </c>
      <c r="F21" s="40">
        <v>0</v>
      </c>
      <c r="G21" s="40">
        <v>0</v>
      </c>
      <c r="H21" s="40">
        <v>0</v>
      </c>
      <c r="I21" s="40">
        <v>0</v>
      </c>
      <c r="J21" s="40">
        <v>0</v>
      </c>
      <c r="K21" s="40">
        <v>0</v>
      </c>
      <c r="L21" s="40">
        <v>0</v>
      </c>
      <c r="M21" s="40">
        <v>0</v>
      </c>
      <c r="N21" s="40">
        <v>0</v>
      </c>
      <c r="O21" s="40">
        <v>0</v>
      </c>
      <c r="P21" s="40">
        <v>0</v>
      </c>
      <c r="Q21" s="40">
        <v>0</v>
      </c>
      <c r="R21" s="40">
        <v>0</v>
      </c>
      <c r="S21" s="40">
        <v>0</v>
      </c>
      <c r="T21" s="40">
        <v>0</v>
      </c>
      <c r="U21" s="40">
        <v>0</v>
      </c>
      <c r="V21" s="40">
        <v>0</v>
      </c>
      <c r="W21" s="40">
        <v>0</v>
      </c>
      <c r="X21" s="40">
        <v>0</v>
      </c>
      <c r="Y21" s="40">
        <v>0</v>
      </c>
      <c r="Z21" s="40">
        <v>0</v>
      </c>
      <c r="AA21" s="40">
        <v>0</v>
      </c>
      <c r="AB21" s="40">
        <v>0</v>
      </c>
      <c r="AC21" s="40">
        <v>0</v>
      </c>
      <c r="AD21" s="40">
        <v>0</v>
      </c>
      <c r="AE21" s="40">
        <v>0</v>
      </c>
      <c r="AF21" s="40">
        <v>0</v>
      </c>
      <c r="AG21" s="40">
        <v>0</v>
      </c>
      <c r="AH21" s="40">
        <v>0</v>
      </c>
      <c r="AI21" s="40">
        <v>0</v>
      </c>
      <c r="AJ21" s="40">
        <v>0</v>
      </c>
      <c r="AK21" s="40">
        <v>0</v>
      </c>
      <c r="AL21" s="40">
        <v>0</v>
      </c>
    </row>
    <row r="22" spans="1:38" ht="14">
      <c r="A22" s="18"/>
      <c r="B22" s="340" t="s">
        <v>131</v>
      </c>
      <c r="C22" s="341">
        <v>0</v>
      </c>
      <c r="D22" s="341">
        <v>0</v>
      </c>
      <c r="E22" s="341">
        <v>0</v>
      </c>
      <c r="F22" s="341">
        <v>0</v>
      </c>
      <c r="G22" s="341">
        <v>0</v>
      </c>
      <c r="H22" s="341">
        <v>0</v>
      </c>
      <c r="I22" s="341">
        <v>0</v>
      </c>
      <c r="J22" s="341">
        <v>0</v>
      </c>
      <c r="K22" s="341">
        <v>0</v>
      </c>
      <c r="L22" s="341">
        <v>0</v>
      </c>
      <c r="M22" s="341">
        <v>0</v>
      </c>
      <c r="N22" s="341">
        <v>0</v>
      </c>
      <c r="O22" s="341">
        <v>0</v>
      </c>
      <c r="P22" s="341">
        <v>0</v>
      </c>
      <c r="Q22" s="341">
        <v>0</v>
      </c>
      <c r="R22" s="341">
        <v>0</v>
      </c>
      <c r="S22" s="341">
        <v>0</v>
      </c>
      <c r="T22" s="341">
        <v>0</v>
      </c>
      <c r="U22" s="341">
        <v>0</v>
      </c>
      <c r="V22" s="341">
        <v>0</v>
      </c>
      <c r="W22" s="341">
        <v>0</v>
      </c>
      <c r="X22" s="341">
        <v>0</v>
      </c>
      <c r="Y22" s="341">
        <v>0</v>
      </c>
      <c r="Z22" s="341">
        <v>0</v>
      </c>
      <c r="AA22" s="341">
        <v>0</v>
      </c>
      <c r="AB22" s="341">
        <v>0</v>
      </c>
      <c r="AC22" s="341">
        <v>0</v>
      </c>
      <c r="AD22" s="341">
        <v>0</v>
      </c>
      <c r="AE22" s="341">
        <v>0</v>
      </c>
      <c r="AF22" s="341">
        <v>0</v>
      </c>
      <c r="AG22" s="341">
        <v>0</v>
      </c>
      <c r="AH22" s="341">
        <v>0</v>
      </c>
      <c r="AI22" s="341">
        <v>0</v>
      </c>
      <c r="AJ22" s="341">
        <v>0</v>
      </c>
      <c r="AK22" s="341">
        <v>0</v>
      </c>
      <c r="AL22" s="341">
        <v>0</v>
      </c>
    </row>
    <row r="23" spans="1:38" ht="14">
      <c r="A23" s="18"/>
      <c r="B23" s="346" t="s">
        <v>132</v>
      </c>
      <c r="C23" s="358"/>
      <c r="D23" s="358"/>
      <c r="E23" s="358"/>
      <c r="F23" s="358"/>
      <c r="G23" s="358"/>
      <c r="H23" s="358"/>
      <c r="I23" s="358"/>
      <c r="J23" s="358"/>
      <c r="K23" s="358"/>
      <c r="L23" s="358"/>
      <c r="M23" s="358"/>
      <c r="N23" s="358"/>
      <c r="O23" s="358"/>
      <c r="P23" s="358"/>
      <c r="Q23" s="358"/>
      <c r="R23" s="358"/>
      <c r="S23" s="358"/>
      <c r="T23" s="358"/>
      <c r="U23" s="358"/>
      <c r="V23" s="358"/>
      <c r="W23" s="358"/>
      <c r="X23" s="358"/>
      <c r="Y23" s="358"/>
      <c r="Z23" s="358"/>
      <c r="AA23" s="358"/>
      <c r="AB23" s="358"/>
      <c r="AC23" s="358"/>
      <c r="AD23" s="358"/>
      <c r="AE23" s="358"/>
      <c r="AF23" s="358"/>
      <c r="AG23" s="358"/>
      <c r="AH23" s="358"/>
      <c r="AI23" s="358"/>
      <c r="AJ23" s="358"/>
      <c r="AK23" s="358"/>
      <c r="AL23" s="358"/>
    </row>
    <row r="24" spans="1:38" ht="14">
      <c r="A24" s="18"/>
      <c r="B24" s="346" t="s">
        <v>133</v>
      </c>
      <c r="C24" s="358"/>
      <c r="D24" s="358"/>
      <c r="E24" s="358"/>
      <c r="F24" s="358"/>
      <c r="G24" s="358"/>
      <c r="H24" s="358"/>
      <c r="I24" s="358"/>
      <c r="J24" s="358"/>
      <c r="K24" s="358"/>
      <c r="L24" s="358"/>
      <c r="M24" s="358"/>
      <c r="N24" s="358"/>
      <c r="O24" s="358"/>
      <c r="P24" s="358"/>
      <c r="Q24" s="358"/>
      <c r="R24" s="358"/>
      <c r="S24" s="358"/>
      <c r="T24" s="358"/>
      <c r="U24" s="358"/>
      <c r="V24" s="358"/>
      <c r="W24" s="358"/>
      <c r="X24" s="358"/>
      <c r="Y24" s="358"/>
      <c r="Z24" s="358"/>
      <c r="AA24" s="358"/>
      <c r="AB24" s="358"/>
      <c r="AC24" s="358"/>
      <c r="AD24" s="358"/>
      <c r="AE24" s="358"/>
      <c r="AF24" s="358"/>
      <c r="AG24" s="358"/>
      <c r="AH24" s="358"/>
      <c r="AI24" s="358"/>
      <c r="AJ24" s="358"/>
      <c r="AK24" s="358"/>
      <c r="AL24" s="358"/>
    </row>
    <row r="25" spans="1:38" ht="14.5" thickBot="1">
      <c r="A25" s="18"/>
      <c r="B25" s="199" t="s">
        <v>134</v>
      </c>
      <c r="C25" s="359"/>
      <c r="D25" s="359"/>
      <c r="E25" s="359"/>
      <c r="F25" s="359"/>
      <c r="G25" s="359"/>
      <c r="H25" s="359"/>
      <c r="I25" s="359"/>
      <c r="J25" s="359"/>
      <c r="K25" s="359"/>
      <c r="L25" s="359"/>
      <c r="M25" s="359"/>
      <c r="N25" s="359"/>
      <c r="O25" s="359"/>
      <c r="P25" s="359"/>
      <c r="Q25" s="359"/>
      <c r="R25" s="359"/>
      <c r="S25" s="359"/>
      <c r="T25" s="359"/>
      <c r="U25" s="359"/>
      <c r="V25" s="359"/>
      <c r="W25" s="359"/>
      <c r="X25" s="359"/>
      <c r="Y25" s="359"/>
      <c r="Z25" s="359"/>
      <c r="AA25" s="359"/>
      <c r="AB25" s="359"/>
      <c r="AC25" s="359"/>
      <c r="AD25" s="359"/>
      <c r="AE25" s="359"/>
      <c r="AF25" s="359"/>
      <c r="AG25" s="359"/>
      <c r="AH25" s="359"/>
      <c r="AI25" s="359"/>
      <c r="AJ25" s="359"/>
      <c r="AK25" s="359"/>
      <c r="AL25" s="359"/>
    </row>
    <row r="26" spans="1:38" ht="14.5" thickBot="1">
      <c r="A26" s="18"/>
      <c r="B26" s="332" t="s">
        <v>135</v>
      </c>
      <c r="C26" s="342">
        <f>SUM(C4,C13,C16)</f>
        <v>3437882.6880760673</v>
      </c>
      <c r="D26" s="342">
        <f t="shared" ref="D26:AG26" si="6">SUM(D4,D13,D16)</f>
        <v>3322864.0023124772</v>
      </c>
      <c r="E26" s="342">
        <f t="shared" si="6"/>
        <v>3412666.5501592122</v>
      </c>
      <c r="F26" s="342">
        <f t="shared" si="6"/>
        <v>3727698.5517237009</v>
      </c>
      <c r="G26" s="342">
        <f t="shared" si="6"/>
        <v>4455033.9594991785</v>
      </c>
      <c r="H26" s="342">
        <f t="shared" si="6"/>
        <v>5446027.3624210237</v>
      </c>
      <c r="I26" s="342">
        <f t="shared" si="6"/>
        <v>6018158.8733852655</v>
      </c>
      <c r="J26" s="342">
        <f t="shared" si="6"/>
        <v>13023129.349511551</v>
      </c>
      <c r="K26" s="342">
        <f t="shared" si="6"/>
        <v>12829807.289921444</v>
      </c>
      <c r="L26" s="342">
        <f t="shared" si="6"/>
        <v>12923063.009003876</v>
      </c>
      <c r="M26" s="342">
        <f t="shared" si="6"/>
        <v>12536240.162970003</v>
      </c>
      <c r="N26" s="342">
        <f t="shared" si="6"/>
        <v>11768138.050707132</v>
      </c>
      <c r="O26" s="342">
        <f t="shared" si="6"/>
        <v>12918359.015483581</v>
      </c>
      <c r="P26" s="342">
        <f t="shared" si="6"/>
        <v>13338325.97739692</v>
      </c>
      <c r="Q26" s="342">
        <f t="shared" si="6"/>
        <v>11687663.625507314</v>
      </c>
      <c r="R26" s="342">
        <f t="shared" si="6"/>
        <v>11770598.108247617</v>
      </c>
      <c r="S26" s="342">
        <f t="shared" si="6"/>
        <v>12019476.723206125</v>
      </c>
      <c r="T26" s="342">
        <f t="shared" si="6"/>
        <v>11980206.190756895</v>
      </c>
      <c r="U26" s="342">
        <f t="shared" si="6"/>
        <v>11786345.512870355</v>
      </c>
      <c r="V26" s="342">
        <f t="shared" si="6"/>
        <v>8364904.1887104828</v>
      </c>
      <c r="W26" s="342">
        <f t="shared" si="6"/>
        <v>11312175.38070661</v>
      </c>
      <c r="X26" s="342">
        <f t="shared" si="6"/>
        <v>11044625.811438689</v>
      </c>
      <c r="Y26" s="342">
        <f t="shared" si="6"/>
        <v>11176235.888356777</v>
      </c>
      <c r="Z26" s="342">
        <f t="shared" si="6"/>
        <v>10714791.824820003</v>
      </c>
      <c r="AA26" s="342">
        <f t="shared" si="6"/>
        <v>10605322.656821288</v>
      </c>
      <c r="AB26" s="342">
        <f t="shared" si="6"/>
        <v>10788155.834808726</v>
      </c>
      <c r="AC26" s="342">
        <f t="shared" si="6"/>
        <v>10681409.969671726</v>
      </c>
      <c r="AD26" s="342">
        <f t="shared" si="6"/>
        <v>10296939.983227886</v>
      </c>
      <c r="AE26" s="342">
        <f t="shared" si="6"/>
        <v>10005120.96340467</v>
      </c>
      <c r="AF26" s="342">
        <f t="shared" si="6"/>
        <v>10382622.105645102</v>
      </c>
      <c r="AG26" s="342">
        <f t="shared" si="6"/>
        <v>10477042.021958107</v>
      </c>
      <c r="AH26" s="342">
        <f t="shared" ref="AH26:AL26" si="7">SUM(AH4,AH13,AH16)</f>
        <v>0</v>
      </c>
      <c r="AI26" s="342">
        <f t="shared" si="7"/>
        <v>0</v>
      </c>
      <c r="AJ26" s="342">
        <f t="shared" si="7"/>
        <v>0</v>
      </c>
      <c r="AK26" s="342">
        <f t="shared" si="7"/>
        <v>0</v>
      </c>
      <c r="AL26" s="342">
        <f t="shared" si="7"/>
        <v>0</v>
      </c>
    </row>
    <row r="27" spans="1:38" s="279" customFormat="1" ht="15.5">
      <c r="A27" s="276"/>
      <c r="B27" s="400"/>
      <c r="C27" s="325">
        <v>1</v>
      </c>
      <c r="D27" s="283">
        <f>IF(D3&lt;=$B28,C27+1,0)</f>
        <v>2</v>
      </c>
      <c r="E27" s="283">
        <f t="shared" ref="E27:AL27" si="8">IF(E3&lt;=$B28,D27+1,0)</f>
        <v>3</v>
      </c>
      <c r="F27" s="283">
        <f t="shared" si="8"/>
        <v>4</v>
      </c>
      <c r="G27" s="283">
        <f t="shared" si="8"/>
        <v>5</v>
      </c>
      <c r="H27" s="283">
        <f t="shared" si="8"/>
        <v>6</v>
      </c>
      <c r="I27" s="283">
        <f t="shared" si="8"/>
        <v>7</v>
      </c>
      <c r="J27" s="283">
        <f t="shared" si="8"/>
        <v>8</v>
      </c>
      <c r="K27" s="283">
        <f t="shared" si="8"/>
        <v>9</v>
      </c>
      <c r="L27" s="283">
        <f t="shared" si="8"/>
        <v>10</v>
      </c>
      <c r="M27" s="283">
        <f t="shared" si="8"/>
        <v>11</v>
      </c>
      <c r="N27" s="283">
        <f t="shared" si="8"/>
        <v>12</v>
      </c>
      <c r="O27" s="283">
        <f t="shared" si="8"/>
        <v>13</v>
      </c>
      <c r="P27" s="283">
        <f t="shared" si="8"/>
        <v>14</v>
      </c>
      <c r="Q27" s="283">
        <f t="shared" si="8"/>
        <v>15</v>
      </c>
      <c r="R27" s="283">
        <f t="shared" si="8"/>
        <v>16</v>
      </c>
      <c r="S27" s="283">
        <f t="shared" si="8"/>
        <v>17</v>
      </c>
      <c r="T27" s="283">
        <f t="shared" si="8"/>
        <v>18</v>
      </c>
      <c r="U27" s="283">
        <f t="shared" si="8"/>
        <v>19</v>
      </c>
      <c r="V27" s="283">
        <f t="shared" si="8"/>
        <v>20</v>
      </c>
      <c r="W27" s="283">
        <f t="shared" si="8"/>
        <v>21</v>
      </c>
      <c r="X27" s="283">
        <f t="shared" si="8"/>
        <v>22</v>
      </c>
      <c r="Y27" s="283">
        <f t="shared" si="8"/>
        <v>23</v>
      </c>
      <c r="Z27" s="283">
        <f t="shared" si="8"/>
        <v>24</v>
      </c>
      <c r="AA27" s="283">
        <f t="shared" si="8"/>
        <v>25</v>
      </c>
      <c r="AB27" s="283">
        <f t="shared" si="8"/>
        <v>26</v>
      </c>
      <c r="AC27" s="283">
        <f t="shared" si="8"/>
        <v>27</v>
      </c>
      <c r="AD27" s="283">
        <f t="shared" si="8"/>
        <v>28</v>
      </c>
      <c r="AE27" s="283">
        <f t="shared" si="8"/>
        <v>29</v>
      </c>
      <c r="AF27" s="283">
        <f t="shared" si="8"/>
        <v>30</v>
      </c>
      <c r="AG27" s="283">
        <f t="shared" si="8"/>
        <v>31</v>
      </c>
      <c r="AH27" s="283">
        <f t="shared" si="8"/>
        <v>0</v>
      </c>
      <c r="AI27" s="283">
        <f t="shared" si="8"/>
        <v>0</v>
      </c>
      <c r="AJ27" s="283">
        <f t="shared" si="8"/>
        <v>0</v>
      </c>
      <c r="AK27" s="283">
        <f t="shared" si="8"/>
        <v>0</v>
      </c>
      <c r="AL27" s="283">
        <f t="shared" si="8"/>
        <v>0</v>
      </c>
    </row>
    <row r="28" spans="1:38" s="279" customFormat="1" ht="14">
      <c r="A28" s="276"/>
      <c r="B28" s="400">
        <f>MAX(C28:AL28)</f>
        <v>2020</v>
      </c>
      <c r="C28" s="276">
        <v>1990</v>
      </c>
      <c r="D28" s="276">
        <f t="shared" ref="D28:AL28" si="9">IF(D26=0,0,D3)</f>
        <v>1991</v>
      </c>
      <c r="E28" s="276">
        <f t="shared" si="9"/>
        <v>1992</v>
      </c>
      <c r="F28" s="276">
        <f t="shared" si="9"/>
        <v>1993</v>
      </c>
      <c r="G28" s="276">
        <f t="shared" si="9"/>
        <v>1994</v>
      </c>
      <c r="H28" s="276">
        <f t="shared" si="9"/>
        <v>1995</v>
      </c>
      <c r="I28" s="276">
        <f t="shared" si="9"/>
        <v>1996</v>
      </c>
      <c r="J28" s="276">
        <f t="shared" si="9"/>
        <v>1997</v>
      </c>
      <c r="K28" s="276">
        <f t="shared" si="9"/>
        <v>1998</v>
      </c>
      <c r="L28" s="276">
        <f t="shared" si="9"/>
        <v>1999</v>
      </c>
      <c r="M28" s="276">
        <f t="shared" si="9"/>
        <v>2000</v>
      </c>
      <c r="N28" s="276">
        <f t="shared" si="9"/>
        <v>2001</v>
      </c>
      <c r="O28" s="276">
        <f t="shared" si="9"/>
        <v>2002</v>
      </c>
      <c r="P28" s="276">
        <f t="shared" si="9"/>
        <v>2003</v>
      </c>
      <c r="Q28" s="276">
        <f t="shared" si="9"/>
        <v>2004</v>
      </c>
      <c r="R28" s="276">
        <f t="shared" si="9"/>
        <v>2005</v>
      </c>
      <c r="S28" s="276">
        <f t="shared" si="9"/>
        <v>2006</v>
      </c>
      <c r="T28" s="276">
        <f t="shared" si="9"/>
        <v>2007</v>
      </c>
      <c r="U28" s="276">
        <f t="shared" si="9"/>
        <v>2008</v>
      </c>
      <c r="V28" s="276">
        <f t="shared" si="9"/>
        <v>2009</v>
      </c>
      <c r="W28" s="276">
        <f t="shared" si="9"/>
        <v>2010</v>
      </c>
      <c r="X28" s="276">
        <f t="shared" si="9"/>
        <v>2011</v>
      </c>
      <c r="Y28" s="276">
        <f t="shared" si="9"/>
        <v>2012</v>
      </c>
      <c r="Z28" s="276">
        <f t="shared" si="9"/>
        <v>2013</v>
      </c>
      <c r="AA28" s="276">
        <f t="shared" si="9"/>
        <v>2014</v>
      </c>
      <c r="AB28" s="276">
        <f t="shared" si="9"/>
        <v>2015</v>
      </c>
      <c r="AC28" s="276">
        <f t="shared" si="9"/>
        <v>2016</v>
      </c>
      <c r="AD28" s="276">
        <f t="shared" si="9"/>
        <v>2017</v>
      </c>
      <c r="AE28" s="276">
        <f t="shared" si="9"/>
        <v>2018</v>
      </c>
      <c r="AF28" s="276">
        <f t="shared" si="9"/>
        <v>2019</v>
      </c>
      <c r="AG28" s="276">
        <f t="shared" si="9"/>
        <v>2020</v>
      </c>
      <c r="AH28" s="276">
        <f t="shared" si="9"/>
        <v>0</v>
      </c>
      <c r="AI28" s="276">
        <f t="shared" si="9"/>
        <v>0</v>
      </c>
      <c r="AJ28" s="276">
        <f t="shared" si="9"/>
        <v>0</v>
      </c>
      <c r="AK28" s="276">
        <f t="shared" si="9"/>
        <v>0</v>
      </c>
      <c r="AL28" s="276">
        <f t="shared" si="9"/>
        <v>0</v>
      </c>
    </row>
    <row r="29" spans="1:38" ht="14">
      <c r="A29" s="18"/>
      <c r="B29" s="18"/>
      <c r="C29" s="46"/>
      <c r="D29" s="46"/>
      <c r="E29" s="46"/>
      <c r="F29" s="46"/>
      <c r="G29" s="46"/>
      <c r="H29" s="46"/>
      <c r="I29" s="46"/>
      <c r="J29" s="46"/>
      <c r="K29" s="46"/>
      <c r="L29" s="46"/>
      <c r="V29" s="291"/>
      <c r="W29" s="279"/>
      <c r="X29" s="291"/>
      <c r="Y29" s="291"/>
      <c r="Z29" s="291"/>
      <c r="AA29" s="291"/>
      <c r="AB29" s="291"/>
      <c r="AC29" s="291"/>
    </row>
    <row r="30" spans="1:38" ht="14">
      <c r="A30" s="18"/>
      <c r="B30" s="23"/>
      <c r="C30" s="24"/>
      <c r="D30" s="24"/>
      <c r="E30" s="24"/>
      <c r="F30" s="24"/>
      <c r="G30" s="24"/>
      <c r="H30" s="24"/>
      <c r="I30" s="24"/>
      <c r="J30" s="24"/>
      <c r="K30" s="24"/>
      <c r="L30" s="24"/>
      <c r="V30" s="291"/>
      <c r="W30" s="276" t="str">
        <f>"Emissions by Gas Type, 1990-"&amp;B28</f>
        <v>Emissions by Gas Type, 1990-2020</v>
      </c>
      <c r="X30" s="291"/>
      <c r="Y30" s="291"/>
      <c r="Z30" s="291"/>
      <c r="AA30" s="291"/>
      <c r="AB30" s="291"/>
      <c r="AC30" s="291"/>
    </row>
    <row r="31" spans="1:38" ht="14">
      <c r="A31" s="18"/>
      <c r="B31" s="23"/>
      <c r="C31" s="24"/>
      <c r="D31" s="24"/>
      <c r="E31" s="24"/>
      <c r="F31" s="24"/>
      <c r="G31" s="24"/>
      <c r="H31" s="24"/>
      <c r="I31" s="24"/>
      <c r="J31" s="24"/>
      <c r="K31" s="24"/>
      <c r="L31" s="24"/>
      <c r="V31" s="291"/>
      <c r="W31" s="276" t="str">
        <f>"Carbon Dioxide Emissions, 1990-"&amp;B28</f>
        <v>Carbon Dioxide Emissions, 1990-2020</v>
      </c>
      <c r="X31" s="291"/>
      <c r="Y31" s="291"/>
      <c r="Z31" s="291"/>
      <c r="AA31" s="291"/>
      <c r="AB31" s="291"/>
      <c r="AC31" s="291"/>
    </row>
    <row r="32" spans="1:38" ht="14">
      <c r="A32" s="18"/>
      <c r="B32" s="23"/>
      <c r="C32" s="47"/>
      <c r="D32" s="47"/>
      <c r="E32" s="47"/>
      <c r="F32" s="47"/>
      <c r="G32" s="47"/>
      <c r="H32" s="47"/>
      <c r="I32" s="47"/>
      <c r="J32" s="47"/>
      <c r="K32" s="47"/>
      <c r="L32" s="47"/>
      <c r="V32" s="291"/>
      <c r="W32" s="276" t="str">
        <f>"Nitrous Oxide Emissions, 1990-"&amp;B28</f>
        <v>Nitrous Oxide Emissions, 1990-2020</v>
      </c>
      <c r="X32" s="291"/>
      <c r="Y32" s="291"/>
      <c r="Z32" s="291"/>
      <c r="AA32" s="291"/>
      <c r="AB32" s="291"/>
      <c r="AC32" s="291"/>
    </row>
    <row r="33" spans="22:29" ht="14">
      <c r="V33" s="291"/>
      <c r="W33" s="276" t="str">
        <f>"High GWP Emissions, 1990-"&amp;B28</f>
        <v>High GWP Emissions, 1990-2020</v>
      </c>
      <c r="X33" s="291"/>
      <c r="Y33" s="291"/>
      <c r="Z33" s="291"/>
      <c r="AA33" s="291"/>
      <c r="AB33" s="291"/>
      <c r="AC33" s="291"/>
    </row>
    <row r="34" spans="22:29">
      <c r="V34" s="291"/>
      <c r="W34" s="279"/>
      <c r="X34" s="291"/>
      <c r="Y34" s="291"/>
      <c r="Z34" s="291"/>
      <c r="AA34" s="291"/>
      <c r="AB34" s="291"/>
      <c r="AC34" s="291"/>
    </row>
    <row r="35" spans="22:29">
      <c r="V35" s="291"/>
      <c r="W35" s="291"/>
      <c r="X35" s="291"/>
      <c r="Y35" s="291"/>
      <c r="Z35" s="291"/>
      <c r="AA35" s="291"/>
      <c r="AB35" s="291"/>
      <c r="AC35" s="291"/>
    </row>
    <row r="36" spans="22:29">
      <c r="V36" s="291"/>
      <c r="W36" s="291"/>
      <c r="X36" s="291"/>
      <c r="Y36" s="291"/>
      <c r="Z36" s="291"/>
      <c r="AA36" s="291"/>
      <c r="AB36" s="291"/>
      <c r="AC36" s="291"/>
    </row>
    <row r="37" spans="22:29">
      <c r="V37" s="291"/>
      <c r="W37" s="291"/>
      <c r="X37" s="291"/>
      <c r="Y37" s="291"/>
      <c r="Z37" s="291"/>
      <c r="AA37" s="291"/>
      <c r="AB37" s="291"/>
      <c r="AC37" s="291"/>
    </row>
    <row r="38" spans="22:29">
      <c r="V38" s="291"/>
      <c r="W38" s="291"/>
      <c r="X38" s="291"/>
      <c r="Y38" s="291"/>
      <c r="Z38" s="291"/>
      <c r="AA38" s="291"/>
      <c r="AB38" s="291"/>
      <c r="AC38" s="291"/>
    </row>
    <row r="39" spans="22:29">
      <c r="V39" s="291"/>
      <c r="W39" s="291"/>
      <c r="X39" s="291"/>
      <c r="Y39" s="291"/>
      <c r="Z39" s="291"/>
      <c r="AA39" s="291"/>
      <c r="AB39" s="291"/>
      <c r="AC39" s="291"/>
    </row>
    <row r="40" spans="22:29">
      <c r="V40" s="291"/>
      <c r="W40" s="291"/>
      <c r="X40" s="291"/>
      <c r="Y40" s="291"/>
      <c r="Z40" s="291"/>
      <c r="AA40" s="291"/>
      <c r="AB40" s="291"/>
      <c r="AC40" s="291"/>
    </row>
    <row r="41" spans="22:29">
      <c r="V41" s="291"/>
      <c r="W41" s="291"/>
      <c r="X41" s="291"/>
      <c r="Y41" s="291"/>
      <c r="Z41" s="291"/>
      <c r="AA41" s="291"/>
      <c r="AB41" s="291"/>
      <c r="AC41" s="291"/>
    </row>
    <row r="42" spans="22:29">
      <c r="V42" s="291"/>
      <c r="W42" s="291"/>
      <c r="X42" s="291"/>
      <c r="Y42" s="291"/>
      <c r="Z42" s="291"/>
      <c r="AA42" s="291"/>
      <c r="AB42" s="291"/>
      <c r="AC42" s="291"/>
    </row>
    <row r="43" spans="22:29">
      <c r="V43" s="291"/>
      <c r="W43" s="291"/>
      <c r="X43" s="291"/>
      <c r="Y43" s="291"/>
      <c r="Z43" s="291"/>
      <c r="AA43" s="291"/>
      <c r="AB43" s="291"/>
      <c r="AC43" s="291"/>
    </row>
    <row r="44" spans="22:29">
      <c r="V44" s="291"/>
      <c r="W44" s="291"/>
      <c r="X44" s="291"/>
      <c r="Y44" s="291"/>
      <c r="Z44" s="291"/>
      <c r="AA44" s="291"/>
      <c r="AB44" s="291"/>
      <c r="AC44" s="291"/>
    </row>
    <row r="45" spans="22:29">
      <c r="V45" s="291"/>
      <c r="W45" s="291"/>
      <c r="X45" s="291"/>
      <c r="Y45" s="291"/>
      <c r="Z45" s="291"/>
      <c r="AA45" s="291"/>
      <c r="AB45" s="291"/>
      <c r="AC45" s="291"/>
    </row>
    <row r="46" spans="22:29">
      <c r="V46" s="291"/>
      <c r="W46" s="291"/>
      <c r="X46" s="291"/>
      <c r="Y46" s="291"/>
      <c r="Z46" s="291"/>
      <c r="AA46" s="291"/>
      <c r="AB46" s="291"/>
      <c r="AC46" s="291"/>
    </row>
    <row r="47" spans="22:29">
      <c r="V47" s="291"/>
      <c r="W47" s="291"/>
      <c r="X47" s="291"/>
      <c r="Y47" s="291"/>
      <c r="Z47" s="291"/>
      <c r="AA47" s="291"/>
      <c r="AB47" s="291"/>
      <c r="AC47" s="291"/>
    </row>
    <row r="48" spans="22:29">
      <c r="V48" s="291"/>
      <c r="W48" s="291"/>
      <c r="X48" s="291"/>
      <c r="Y48" s="291"/>
      <c r="Z48" s="291"/>
      <c r="AA48" s="291"/>
      <c r="AB48" s="291"/>
      <c r="AC48" s="291"/>
    </row>
  </sheetData>
  <sheetProtection algorithmName="SHA-512" hashValue="LBe3YhcEw56qA3lARRyfkYMMa2pmk3eTg5Tg3OVMOnB7tdhvbsJWRAGGHVJGCjd4mC5V+dc/3g6b88NCKogtHA==" saltValue="yTGDXjRnwex4nA8IP1lK+A==" spinCount="100000" sheet="1" objects="1" scenarios="1"/>
  <protectedRanges>
    <protectedRange sqref="C23:AL25" name="AES IP"/>
  </protectedRanges>
  <mergeCells count="1">
    <mergeCell ref="A1:E1"/>
  </mergeCells>
  <phoneticPr fontId="17" type="noConversion"/>
  <pageMargins left="0.75" right="0.75" top="1" bottom="1" header="0.5" footer="0.5"/>
  <pageSetup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08"/>
  <dimension ref="A1:BH76"/>
  <sheetViews>
    <sheetView showGridLines="0" showRowColHeaders="0" zoomScale="85" zoomScaleNormal="85" workbookViewId="0">
      <selection activeCell="B6" sqref="B6"/>
    </sheetView>
  </sheetViews>
  <sheetFormatPr defaultColWidth="9.1796875" defaultRowHeight="12.5"/>
  <cols>
    <col min="1" max="1" width="3.54296875" style="67" customWidth="1"/>
    <col min="2" max="2" width="27.54296875" style="67" customWidth="1"/>
    <col min="3" max="11" width="11.453125" style="67" customWidth="1"/>
    <col min="12" max="18" width="10.81640625" style="67" customWidth="1"/>
    <col min="19" max="16384" width="9.1796875" style="67"/>
  </cols>
  <sheetData>
    <row r="1" spans="1:60" ht="51.75" customHeight="1">
      <c r="A1" s="426" t="str">
        <f>"Summary of GHG Emissions from Agriculture in "&amp;StateName&amp;" (MMTCO2E)"</f>
        <v>Summary of GHG Emissions from Agriculture in Illinois (MMTCO2E)</v>
      </c>
      <c r="B1" s="426"/>
      <c r="C1" s="426"/>
      <c r="D1" s="426"/>
      <c r="E1" s="426"/>
      <c r="F1" s="426"/>
      <c r="AZ1" s="67">
        <v>45349.697279282409</v>
      </c>
    </row>
    <row r="2" spans="1:60" ht="41.5" customHeight="1">
      <c r="A2" s="68"/>
      <c r="B2" s="69"/>
      <c r="C2" s="69"/>
      <c r="D2" s="69"/>
      <c r="E2" s="69"/>
      <c r="F2" s="69"/>
      <c r="G2" s="69"/>
      <c r="H2" s="69"/>
      <c r="I2" s="69"/>
      <c r="J2" s="69"/>
      <c r="K2" s="69"/>
      <c r="L2" s="69"/>
    </row>
    <row r="3" spans="1:60" ht="5.25" customHeight="1">
      <c r="A3" s="70"/>
      <c r="B3" s="429"/>
      <c r="C3" s="429"/>
      <c r="D3" s="429"/>
      <c r="E3" s="429"/>
      <c r="F3" s="429"/>
      <c r="G3" s="429"/>
      <c r="H3" s="429"/>
      <c r="I3" s="429"/>
      <c r="J3" s="429"/>
      <c r="K3" s="429"/>
      <c r="L3" s="429"/>
      <c r="M3" s="429"/>
      <c r="N3" s="71"/>
      <c r="O3" s="72"/>
    </row>
    <row r="4" spans="1:60" ht="30.65" customHeight="1" thickBot="1">
      <c r="B4" s="73" t="s">
        <v>19</v>
      </c>
      <c r="C4" s="77"/>
      <c r="D4" s="77"/>
      <c r="E4" s="77"/>
      <c r="F4" s="77"/>
      <c r="G4" s="77"/>
      <c r="H4" s="77"/>
      <c r="I4" s="77"/>
      <c r="J4" s="77"/>
      <c r="K4" s="77"/>
      <c r="L4" s="77"/>
      <c r="M4" s="77"/>
      <c r="N4" s="77"/>
      <c r="O4" s="77"/>
      <c r="P4" s="77"/>
      <c r="Q4" s="77"/>
      <c r="R4" s="77"/>
      <c r="S4" s="77"/>
      <c r="T4" s="77"/>
      <c r="U4" s="77"/>
      <c r="V4" s="77"/>
      <c r="W4" s="77"/>
      <c r="X4" s="77"/>
      <c r="Y4" s="77"/>
      <c r="Z4" s="77"/>
      <c r="AA4" s="77"/>
      <c r="AB4" s="77"/>
      <c r="AC4" s="77"/>
      <c r="AD4" s="77"/>
      <c r="AE4" s="77"/>
      <c r="AF4" s="77"/>
      <c r="AG4" s="77"/>
      <c r="AH4" s="74"/>
      <c r="AI4" s="74"/>
      <c r="AJ4" s="74"/>
      <c r="AK4" s="74"/>
      <c r="AL4" s="74"/>
    </row>
    <row r="5" spans="1:60" ht="13.5" customHeight="1" thickBot="1">
      <c r="B5" s="75"/>
      <c r="C5" s="73">
        <v>1990</v>
      </c>
      <c r="D5" s="73">
        <v>1991</v>
      </c>
      <c r="E5" s="73">
        <v>1992</v>
      </c>
      <c r="F5" s="73">
        <v>1993</v>
      </c>
      <c r="G5" s="73">
        <v>1994</v>
      </c>
      <c r="H5" s="73">
        <v>1995</v>
      </c>
      <c r="I5" s="73">
        <v>1996</v>
      </c>
      <c r="J5" s="73">
        <v>1997</v>
      </c>
      <c r="K5" s="73">
        <v>1998</v>
      </c>
      <c r="L5" s="73">
        <v>1999</v>
      </c>
      <c r="M5" s="73">
        <v>2000</v>
      </c>
      <c r="N5" s="73">
        <v>2001</v>
      </c>
      <c r="O5" s="73">
        <v>2002</v>
      </c>
      <c r="P5" s="73">
        <v>2003</v>
      </c>
      <c r="Q5" s="73">
        <v>2004</v>
      </c>
      <c r="R5" s="73">
        <v>2005</v>
      </c>
      <c r="S5" s="73">
        <v>2006</v>
      </c>
      <c r="T5" s="73">
        <v>2007</v>
      </c>
      <c r="U5" s="73">
        <v>2008</v>
      </c>
      <c r="V5" s="73">
        <v>2009</v>
      </c>
      <c r="W5" s="73">
        <v>2010</v>
      </c>
      <c r="X5" s="73">
        <v>2011</v>
      </c>
      <c r="Y5" s="73">
        <v>2012</v>
      </c>
      <c r="Z5" s="73">
        <v>2013</v>
      </c>
      <c r="AA5" s="73">
        <v>2014</v>
      </c>
      <c r="AB5" s="73">
        <v>2015</v>
      </c>
      <c r="AC5" s="73">
        <v>2016</v>
      </c>
      <c r="AD5" s="73">
        <v>2017</v>
      </c>
      <c r="AE5" s="73">
        <v>2018</v>
      </c>
      <c r="AF5" s="73">
        <v>2019</v>
      </c>
      <c r="AG5" s="73">
        <v>2020</v>
      </c>
      <c r="AH5" s="73">
        <v>2021</v>
      </c>
      <c r="AI5" s="73">
        <v>2022</v>
      </c>
      <c r="AJ5" s="73">
        <v>2023</v>
      </c>
      <c r="AK5" s="73">
        <v>2024</v>
      </c>
      <c r="AL5" s="73">
        <v>2025</v>
      </c>
    </row>
    <row r="6" spans="1:60" ht="13.5" customHeight="1">
      <c r="B6" s="76" t="s">
        <v>136</v>
      </c>
      <c r="C6" s="214">
        <f>C33*CH4GWP</f>
        <v>3.4481062170417429</v>
      </c>
      <c r="D6" s="214">
        <f t="shared" ref="D6:AG6" si="0">D33*CH4GWP</f>
        <v>3.5286176179597279</v>
      </c>
      <c r="E6" s="214">
        <f t="shared" si="0"/>
        <v>3.5811621006140668</v>
      </c>
      <c r="F6" s="214">
        <f t="shared" si="0"/>
        <v>3.6305856461531434</v>
      </c>
      <c r="G6" s="214">
        <f t="shared" si="0"/>
        <v>3.5880153226644529</v>
      </c>
      <c r="H6" s="214">
        <f t="shared" si="0"/>
        <v>3.4067067064814474</v>
      </c>
      <c r="I6" s="214">
        <f t="shared" si="0"/>
        <v>3.2542320113761427</v>
      </c>
      <c r="J6" s="214">
        <f t="shared" si="0"/>
        <v>3.1644101713725723</v>
      </c>
      <c r="K6" s="214">
        <f t="shared" si="0"/>
        <v>3.1055939272157054</v>
      </c>
      <c r="L6" s="214">
        <f t="shared" si="0"/>
        <v>3.1625344841598459</v>
      </c>
      <c r="M6" s="214">
        <f t="shared" si="0"/>
        <v>3.1510030563914211</v>
      </c>
      <c r="N6" s="214">
        <f t="shared" si="0"/>
        <v>3.0367442852961357</v>
      </c>
      <c r="O6" s="214">
        <f t="shared" si="0"/>
        <v>2.9921341450535279</v>
      </c>
      <c r="P6" s="214">
        <f t="shared" si="0"/>
        <v>2.8973140684740537</v>
      </c>
      <c r="Q6" s="214">
        <f t="shared" si="0"/>
        <v>2.7946957787050311</v>
      </c>
      <c r="R6" s="214">
        <f t="shared" si="0"/>
        <v>2.8944862351546381</v>
      </c>
      <c r="S6" s="214">
        <f t="shared" si="0"/>
        <v>2.8947153956517946</v>
      </c>
      <c r="T6" s="214">
        <f t="shared" si="0"/>
        <v>2.8679243981194409</v>
      </c>
      <c r="U6" s="214">
        <f t="shared" si="0"/>
        <v>2.6878873945964039</v>
      </c>
      <c r="V6" s="214">
        <f t="shared" si="0"/>
        <v>2.6260445781058661</v>
      </c>
      <c r="W6" s="214">
        <f t="shared" si="0"/>
        <v>2.5475321595177314</v>
      </c>
      <c r="X6" s="214">
        <f t="shared" si="0"/>
        <v>2.4483532027079185</v>
      </c>
      <c r="Y6" s="214">
        <f t="shared" si="0"/>
        <v>2.3909378295785007</v>
      </c>
      <c r="Z6" s="214">
        <f t="shared" si="0"/>
        <v>2.4630173411686118</v>
      </c>
      <c r="AA6" s="214">
        <f t="shared" si="0"/>
        <v>2.4815185500126464</v>
      </c>
      <c r="AB6" s="214">
        <f t="shared" si="0"/>
        <v>2.4694027413749438</v>
      </c>
      <c r="AC6" s="214">
        <f t="shared" si="0"/>
        <v>2.5467501429236767</v>
      </c>
      <c r="AD6" s="214">
        <f t="shared" si="0"/>
        <v>2.6289895250996302</v>
      </c>
      <c r="AE6" s="214">
        <f t="shared" si="0"/>
        <v>2.5526426558347772</v>
      </c>
      <c r="AF6" s="214">
        <f t="shared" si="0"/>
        <v>2.3276688017708396</v>
      </c>
      <c r="AG6" s="214">
        <f t="shared" si="0"/>
        <v>2.2792269421186173</v>
      </c>
      <c r="AH6" s="214">
        <f t="shared" ref="AH6:AL6" si="1">AH33*CH4GWP</f>
        <v>2.4744396857454194</v>
      </c>
      <c r="AI6" s="214">
        <f t="shared" si="1"/>
        <v>0</v>
      </c>
      <c r="AJ6" s="214">
        <f t="shared" si="1"/>
        <v>0</v>
      </c>
      <c r="AK6" s="214">
        <f t="shared" si="1"/>
        <v>0</v>
      </c>
      <c r="AL6" s="214">
        <f t="shared" si="1"/>
        <v>0</v>
      </c>
    </row>
    <row r="7" spans="1:60" ht="13.5" customHeight="1">
      <c r="B7" s="76" t="s">
        <v>137</v>
      </c>
      <c r="C7" s="214">
        <f>C34*CH4GWP+C38*N2OGWP</f>
        <v>2.3557590433806181</v>
      </c>
      <c r="D7" s="214">
        <f t="shared" ref="D7:AG7" si="2">D34*CH4GWP+D38*N2OGWP</f>
        <v>2.5863008900811306</v>
      </c>
      <c r="E7" s="214">
        <f t="shared" si="2"/>
        <v>2.3332096357704257</v>
      </c>
      <c r="F7" s="214">
        <f t="shared" si="2"/>
        <v>2.3772578803835063</v>
      </c>
      <c r="G7" s="214">
        <f t="shared" si="2"/>
        <v>2.4168673844363959</v>
      </c>
      <c r="H7" s="214">
        <f t="shared" si="2"/>
        <v>2.3575936623522895</v>
      </c>
      <c r="I7" s="214">
        <f t="shared" si="2"/>
        <v>2.0400245306416829</v>
      </c>
      <c r="J7" s="214">
        <f t="shared" si="2"/>
        <v>1.9449834246890894</v>
      </c>
      <c r="K7" s="214">
        <f t="shared" si="2"/>
        <v>2.1756844394897978</v>
      </c>
      <c r="L7" s="214">
        <f t="shared" si="2"/>
        <v>1.9172871809527443</v>
      </c>
      <c r="M7" s="214">
        <f t="shared" si="2"/>
        <v>1.8405054741864153</v>
      </c>
      <c r="N7" s="214">
        <f t="shared" si="2"/>
        <v>1.8633370894699592</v>
      </c>
      <c r="O7" s="214">
        <f t="shared" si="2"/>
        <v>1.9639536715404826</v>
      </c>
      <c r="P7" s="214">
        <f t="shared" si="2"/>
        <v>1.8017272497815859</v>
      </c>
      <c r="Q7" s="214">
        <f t="shared" si="2"/>
        <v>1.6796418725769449</v>
      </c>
      <c r="R7" s="214">
        <f t="shared" si="2"/>
        <v>1.8478363083075688</v>
      </c>
      <c r="S7" s="214">
        <f t="shared" si="2"/>
        <v>1.8525860554203333</v>
      </c>
      <c r="T7" s="214">
        <f t="shared" si="2"/>
        <v>1.934825069589341</v>
      </c>
      <c r="U7" s="214">
        <f t="shared" si="2"/>
        <v>1.8143781885454979</v>
      </c>
      <c r="V7" s="214">
        <f t="shared" si="2"/>
        <v>1.7377070035862519</v>
      </c>
      <c r="W7" s="214">
        <f t="shared" si="2"/>
        <v>2.0173348213677298</v>
      </c>
      <c r="X7" s="214">
        <f t="shared" si="2"/>
        <v>1.9895883372276657</v>
      </c>
      <c r="Y7" s="214">
        <f t="shared" si="2"/>
        <v>2.1737260353382388</v>
      </c>
      <c r="Z7" s="214">
        <f t="shared" si="2"/>
        <v>1.9919813420502588</v>
      </c>
      <c r="AA7" s="214">
        <f t="shared" si="2"/>
        <v>1.9333438360708513</v>
      </c>
      <c r="AB7" s="214">
        <f t="shared" si="2"/>
        <v>2.1443808314885797</v>
      </c>
      <c r="AC7" s="214">
        <f t="shared" si="2"/>
        <v>2.3443994991361619</v>
      </c>
      <c r="AD7" s="214">
        <f t="shared" si="2"/>
        <v>2.2908338934224433</v>
      </c>
      <c r="AE7" s="214">
        <f t="shared" si="2"/>
        <v>2.4050683547731651</v>
      </c>
      <c r="AF7" s="214">
        <f t="shared" si="2"/>
        <v>2.3831851222103975</v>
      </c>
      <c r="AG7" s="214">
        <f t="shared" si="2"/>
        <v>2.3975154892217372</v>
      </c>
      <c r="AH7" s="214">
        <f t="shared" ref="AH7:AL7" si="3">AH34*CH4GWP+AH38*N2OGWP</f>
        <v>2.4086403734496091</v>
      </c>
      <c r="AI7" s="214">
        <f t="shared" si="3"/>
        <v>0</v>
      </c>
      <c r="AJ7" s="214">
        <f t="shared" si="3"/>
        <v>0</v>
      </c>
      <c r="AK7" s="214">
        <f t="shared" si="3"/>
        <v>0</v>
      </c>
      <c r="AL7" s="214">
        <f t="shared" si="3"/>
        <v>0</v>
      </c>
    </row>
    <row r="8" spans="1:60" ht="14">
      <c r="B8" s="130" t="s">
        <v>138</v>
      </c>
      <c r="C8" s="214">
        <f t="shared" ref="C8:AG8" si="4">C39*N2OGWP</f>
        <v>22.773786544949719</v>
      </c>
      <c r="D8" s="214">
        <f t="shared" si="4"/>
        <v>21.414376488414874</v>
      </c>
      <c r="E8" s="214">
        <f t="shared" si="4"/>
        <v>22.143347146996643</v>
      </c>
      <c r="F8" s="214">
        <f t="shared" si="4"/>
        <v>23.677232466774811</v>
      </c>
      <c r="G8" s="214">
        <f t="shared" si="4"/>
        <v>22.674289610928906</v>
      </c>
      <c r="H8" s="214">
        <f t="shared" si="4"/>
        <v>21.512261122712914</v>
      </c>
      <c r="I8" s="214">
        <f t="shared" si="4"/>
        <v>22.548305095802611</v>
      </c>
      <c r="J8" s="214">
        <f t="shared" si="4"/>
        <v>21.299423606933964</v>
      </c>
      <c r="K8" s="214">
        <f t="shared" si="4"/>
        <v>22.151505951249238</v>
      </c>
      <c r="L8" s="214">
        <f t="shared" si="4"/>
        <v>21.693058916260725</v>
      </c>
      <c r="M8" s="214">
        <f t="shared" si="4"/>
        <v>21.262638543662035</v>
      </c>
      <c r="N8" s="214">
        <f t="shared" si="4"/>
        <v>22.228956520586962</v>
      </c>
      <c r="O8" s="214">
        <f t="shared" si="4"/>
        <v>21.43979059136467</v>
      </c>
      <c r="P8" s="214">
        <f t="shared" si="4"/>
        <v>20.598268450317793</v>
      </c>
      <c r="Q8" s="214">
        <f t="shared" si="4"/>
        <v>22.706050879715733</v>
      </c>
      <c r="R8" s="214">
        <f t="shared" si="4"/>
        <v>20.658464662749061</v>
      </c>
      <c r="S8" s="214">
        <f t="shared" si="4"/>
        <v>21.752736254231596</v>
      </c>
      <c r="T8" s="214">
        <f t="shared" si="4"/>
        <v>21.047948048830371</v>
      </c>
      <c r="U8" s="214">
        <f t="shared" si="4"/>
        <v>22.178254092402131</v>
      </c>
      <c r="V8" s="214">
        <f t="shared" si="4"/>
        <v>20.766010182390875</v>
      </c>
      <c r="W8" s="214">
        <f t="shared" si="4"/>
        <v>20.717510541244884</v>
      </c>
      <c r="X8" s="214">
        <f t="shared" si="4"/>
        <v>21.660514597393373</v>
      </c>
      <c r="Y8" s="214">
        <f t="shared" si="4"/>
        <v>19.577021332009831</v>
      </c>
      <c r="Z8" s="214">
        <f t="shared" si="4"/>
        <v>23.350934530911964</v>
      </c>
      <c r="AA8" s="214">
        <f t="shared" si="4"/>
        <v>24.838078541457463</v>
      </c>
      <c r="AB8" s="214">
        <f t="shared" si="4"/>
        <v>23.510069922832482</v>
      </c>
      <c r="AC8" s="214">
        <f t="shared" si="4"/>
        <v>22.734413805061997</v>
      </c>
      <c r="AD8" s="214">
        <f t="shared" si="4"/>
        <v>23.801957681067091</v>
      </c>
      <c r="AE8" s="214">
        <f t="shared" si="4"/>
        <v>26.008411539196274</v>
      </c>
      <c r="AF8" s="214">
        <f t="shared" si="4"/>
        <v>23.623458549855126</v>
      </c>
      <c r="AG8" s="214">
        <f t="shared" si="4"/>
        <v>22.759181015223312</v>
      </c>
      <c r="AH8" s="214">
        <f t="shared" ref="AH8:AL8" si="5">AH39*N2OGWP</f>
        <v>21.776349599240373</v>
      </c>
      <c r="AI8" s="214">
        <f t="shared" si="5"/>
        <v>0</v>
      </c>
      <c r="AJ8" s="214">
        <f t="shared" si="5"/>
        <v>0</v>
      </c>
      <c r="AK8" s="214">
        <f t="shared" si="5"/>
        <v>0</v>
      </c>
      <c r="AL8" s="214">
        <f t="shared" si="5"/>
        <v>0</v>
      </c>
    </row>
    <row r="9" spans="1:60" ht="14">
      <c r="B9" s="76" t="s">
        <v>139</v>
      </c>
      <c r="C9" s="214">
        <f t="shared" ref="C9:AG9" si="6">C35*CH4GWP</f>
        <v>0</v>
      </c>
      <c r="D9" s="214">
        <f t="shared" si="6"/>
        <v>0</v>
      </c>
      <c r="E9" s="214">
        <f t="shared" si="6"/>
        <v>0</v>
      </c>
      <c r="F9" s="214">
        <f t="shared" si="6"/>
        <v>0</v>
      </c>
      <c r="G9" s="214">
        <f t="shared" si="6"/>
        <v>0</v>
      </c>
      <c r="H9" s="214">
        <f t="shared" si="6"/>
        <v>0</v>
      </c>
      <c r="I9" s="214">
        <f t="shared" si="6"/>
        <v>0</v>
      </c>
      <c r="J9" s="214">
        <f t="shared" si="6"/>
        <v>0</v>
      </c>
      <c r="K9" s="214">
        <f t="shared" si="6"/>
        <v>0</v>
      </c>
      <c r="L9" s="214">
        <f t="shared" si="6"/>
        <v>0</v>
      </c>
      <c r="M9" s="214">
        <f t="shared" si="6"/>
        <v>0</v>
      </c>
      <c r="N9" s="214">
        <f t="shared" si="6"/>
        <v>0</v>
      </c>
      <c r="O9" s="214">
        <f t="shared" si="6"/>
        <v>0</v>
      </c>
      <c r="P9" s="214">
        <f t="shared" si="6"/>
        <v>0</v>
      </c>
      <c r="Q9" s="214">
        <f t="shared" si="6"/>
        <v>0</v>
      </c>
      <c r="R9" s="214">
        <f t="shared" si="6"/>
        <v>0</v>
      </c>
      <c r="S9" s="214">
        <f t="shared" si="6"/>
        <v>0</v>
      </c>
      <c r="T9" s="214">
        <f t="shared" si="6"/>
        <v>0</v>
      </c>
      <c r="U9" s="214">
        <f t="shared" si="6"/>
        <v>0</v>
      </c>
      <c r="V9" s="214">
        <f t="shared" si="6"/>
        <v>0</v>
      </c>
      <c r="W9" s="214">
        <f t="shared" si="6"/>
        <v>0</v>
      </c>
      <c r="X9" s="214">
        <f t="shared" si="6"/>
        <v>0</v>
      </c>
      <c r="Y9" s="214">
        <f t="shared" si="6"/>
        <v>0</v>
      </c>
      <c r="Z9" s="214">
        <f t="shared" si="6"/>
        <v>0</v>
      </c>
      <c r="AA9" s="214">
        <f t="shared" si="6"/>
        <v>0</v>
      </c>
      <c r="AB9" s="214">
        <f t="shared" si="6"/>
        <v>0</v>
      </c>
      <c r="AC9" s="214">
        <f t="shared" si="6"/>
        <v>0</v>
      </c>
      <c r="AD9" s="214">
        <f t="shared" si="6"/>
        <v>0</v>
      </c>
      <c r="AE9" s="214">
        <f t="shared" si="6"/>
        <v>0</v>
      </c>
      <c r="AF9" s="214">
        <f t="shared" si="6"/>
        <v>0</v>
      </c>
      <c r="AG9" s="214">
        <f t="shared" si="6"/>
        <v>0</v>
      </c>
      <c r="AH9" s="214">
        <f t="shared" ref="AH9:AL9" si="7">AH35*CH4GWP</f>
        <v>0</v>
      </c>
      <c r="AI9" s="214">
        <f t="shared" si="7"/>
        <v>0</v>
      </c>
      <c r="AJ9" s="214">
        <f t="shared" si="7"/>
        <v>0</v>
      </c>
      <c r="AK9" s="214">
        <f t="shared" si="7"/>
        <v>0</v>
      </c>
      <c r="AL9" s="214">
        <f t="shared" si="7"/>
        <v>0</v>
      </c>
    </row>
    <row r="10" spans="1:60" ht="14">
      <c r="B10" s="76" t="s">
        <v>140</v>
      </c>
      <c r="C10" s="214">
        <f t="shared" ref="C10:AG10" si="8">C30</f>
        <v>0.8391574080806441</v>
      </c>
      <c r="D10" s="214">
        <f t="shared" si="8"/>
        <v>0.70843341313498398</v>
      </c>
      <c r="E10" s="214">
        <f t="shared" si="8"/>
        <v>0.72882367915606894</v>
      </c>
      <c r="F10" s="214">
        <f t="shared" si="8"/>
        <v>0.59856667450771039</v>
      </c>
      <c r="G10" s="214">
        <f t="shared" si="8"/>
        <v>0.58344247644011882</v>
      </c>
      <c r="H10" s="214">
        <f t="shared" si="8"/>
        <v>0.79968041262599143</v>
      </c>
      <c r="I10" s="214">
        <f t="shared" si="8"/>
        <v>0.79144122770370173</v>
      </c>
      <c r="J10" s="214">
        <f t="shared" si="8"/>
        <v>0.73760464559815209</v>
      </c>
      <c r="K10" s="214">
        <f t="shared" si="8"/>
        <v>0.71530705376283943</v>
      </c>
      <c r="L10" s="214">
        <f t="shared" si="8"/>
        <v>0.62503333361974156</v>
      </c>
      <c r="M10" s="214">
        <f t="shared" si="8"/>
        <v>0.53586824812638945</v>
      </c>
      <c r="N10" s="214">
        <f t="shared" si="8"/>
        <v>0.73342572090326719</v>
      </c>
      <c r="O10" s="214">
        <f t="shared" si="8"/>
        <v>0.52810572958065449</v>
      </c>
      <c r="P10" s="214">
        <f t="shared" si="8"/>
        <v>0.68207105528940248</v>
      </c>
      <c r="Q10" s="214">
        <f t="shared" si="8"/>
        <v>0.82637147200081562</v>
      </c>
      <c r="R10" s="214">
        <f t="shared" si="8"/>
        <v>0.82577192240833897</v>
      </c>
      <c r="S10" s="214">
        <f t="shared" si="8"/>
        <v>0.6574371509105541</v>
      </c>
      <c r="T10" s="214">
        <f t="shared" si="8"/>
        <v>0.90767021765896139</v>
      </c>
      <c r="U10" s="214">
        <f t="shared" si="8"/>
        <v>0.46968039896249292</v>
      </c>
      <c r="V10" s="214">
        <f t="shared" si="8"/>
        <v>0</v>
      </c>
      <c r="W10" s="214">
        <f t="shared" si="8"/>
        <v>0.73756197310975924</v>
      </c>
      <c r="X10" s="214">
        <f t="shared" si="8"/>
        <v>0.54200966379270654</v>
      </c>
      <c r="Y10" s="214">
        <f t="shared" si="8"/>
        <v>0.96685082966789626</v>
      </c>
      <c r="Z10" s="214">
        <f t="shared" si="8"/>
        <v>0.67330525092804061</v>
      </c>
      <c r="AA10" s="214">
        <f t="shared" si="8"/>
        <v>0.62173761815381656</v>
      </c>
      <c r="AB10" s="214">
        <f t="shared" si="8"/>
        <v>0.65061919501771082</v>
      </c>
      <c r="AC10" s="214">
        <f t="shared" si="8"/>
        <v>0.51302933263057215</v>
      </c>
      <c r="AD10" s="214">
        <f t="shared" si="8"/>
        <v>0.59454719068087969</v>
      </c>
      <c r="AE10" s="214">
        <f t="shared" si="8"/>
        <v>0.51647989836297814</v>
      </c>
      <c r="AF10" s="214">
        <f t="shared" si="8"/>
        <v>0.24728981851367962</v>
      </c>
      <c r="AG10" s="214">
        <f t="shared" si="8"/>
        <v>0.32566684873851454</v>
      </c>
      <c r="AH10" s="214">
        <f t="shared" ref="AH10:AL10" si="9">AH30</f>
        <v>0.46071683391722229</v>
      </c>
      <c r="AI10" s="214">
        <f t="shared" si="9"/>
        <v>0</v>
      </c>
      <c r="AJ10" s="214">
        <f t="shared" si="9"/>
        <v>0</v>
      </c>
      <c r="AK10" s="214">
        <f t="shared" si="9"/>
        <v>0</v>
      </c>
      <c r="AL10" s="214">
        <f t="shared" si="9"/>
        <v>0</v>
      </c>
    </row>
    <row r="11" spans="1:60" ht="14">
      <c r="B11" s="76" t="s">
        <v>141</v>
      </c>
      <c r="C11" s="214">
        <f t="shared" ref="C11:AG11" si="10">C31</f>
        <v>0</v>
      </c>
      <c r="D11" s="214">
        <f t="shared" si="10"/>
        <v>0</v>
      </c>
      <c r="E11" s="214">
        <f t="shared" si="10"/>
        <v>0</v>
      </c>
      <c r="F11" s="214">
        <f t="shared" si="10"/>
        <v>0</v>
      </c>
      <c r="G11" s="214">
        <f t="shared" si="10"/>
        <v>0</v>
      </c>
      <c r="H11" s="214">
        <f t="shared" si="10"/>
        <v>0</v>
      </c>
      <c r="I11" s="214">
        <f t="shared" si="10"/>
        <v>0</v>
      </c>
      <c r="J11" s="214">
        <f t="shared" si="10"/>
        <v>0</v>
      </c>
      <c r="K11" s="214">
        <f t="shared" si="10"/>
        <v>0</v>
      </c>
      <c r="L11" s="214">
        <f t="shared" si="10"/>
        <v>0</v>
      </c>
      <c r="M11" s="214">
        <f t="shared" si="10"/>
        <v>0</v>
      </c>
      <c r="N11" s="214">
        <f t="shared" si="10"/>
        <v>0</v>
      </c>
      <c r="O11" s="214">
        <f t="shared" si="10"/>
        <v>0</v>
      </c>
      <c r="P11" s="214">
        <f t="shared" si="10"/>
        <v>0</v>
      </c>
      <c r="Q11" s="214">
        <f t="shared" si="10"/>
        <v>0</v>
      </c>
      <c r="R11" s="214">
        <f t="shared" si="10"/>
        <v>0</v>
      </c>
      <c r="S11" s="214">
        <f t="shared" si="10"/>
        <v>0</v>
      </c>
      <c r="T11" s="214">
        <f t="shared" si="10"/>
        <v>0</v>
      </c>
      <c r="U11" s="214">
        <f t="shared" si="10"/>
        <v>0</v>
      </c>
      <c r="V11" s="214">
        <f t="shared" si="10"/>
        <v>0</v>
      </c>
      <c r="W11" s="214">
        <f t="shared" si="10"/>
        <v>0</v>
      </c>
      <c r="X11" s="214">
        <f t="shared" si="10"/>
        <v>0</v>
      </c>
      <c r="Y11" s="214">
        <f t="shared" si="10"/>
        <v>0</v>
      </c>
      <c r="Z11" s="214">
        <f t="shared" si="10"/>
        <v>0</v>
      </c>
      <c r="AA11" s="214">
        <f t="shared" si="10"/>
        <v>0</v>
      </c>
      <c r="AB11" s="214">
        <f t="shared" si="10"/>
        <v>0</v>
      </c>
      <c r="AC11" s="214">
        <f t="shared" si="10"/>
        <v>0</v>
      </c>
      <c r="AD11" s="214">
        <f t="shared" si="10"/>
        <v>0</v>
      </c>
      <c r="AE11" s="214">
        <f t="shared" si="10"/>
        <v>0</v>
      </c>
      <c r="AF11" s="214">
        <f t="shared" si="10"/>
        <v>0</v>
      </c>
      <c r="AG11" s="214">
        <f t="shared" si="10"/>
        <v>0</v>
      </c>
      <c r="AH11" s="214">
        <f t="shared" ref="AH11:AL11" si="11">AH31</f>
        <v>0</v>
      </c>
      <c r="AI11" s="214">
        <f t="shared" si="11"/>
        <v>0</v>
      </c>
      <c r="AJ11" s="214">
        <f t="shared" si="11"/>
        <v>0</v>
      </c>
      <c r="AK11" s="214">
        <f t="shared" si="11"/>
        <v>0</v>
      </c>
      <c r="AL11" s="214">
        <f t="shared" si="11"/>
        <v>0</v>
      </c>
    </row>
    <row r="12" spans="1:60" ht="14">
      <c r="B12" s="338" t="s">
        <v>142</v>
      </c>
      <c r="C12" s="339">
        <f t="shared" ref="C12:AG12" si="12">C36*CH4GWP+C40*N2OGWP</f>
        <v>0</v>
      </c>
      <c r="D12" s="339">
        <f t="shared" si="12"/>
        <v>0</v>
      </c>
      <c r="E12" s="339">
        <f t="shared" si="12"/>
        <v>0</v>
      </c>
      <c r="F12" s="339">
        <f t="shared" si="12"/>
        <v>0</v>
      </c>
      <c r="G12" s="339">
        <f t="shared" si="12"/>
        <v>0</v>
      </c>
      <c r="H12" s="339">
        <f t="shared" si="12"/>
        <v>0</v>
      </c>
      <c r="I12" s="339">
        <f t="shared" si="12"/>
        <v>0</v>
      </c>
      <c r="J12" s="339">
        <f t="shared" si="12"/>
        <v>0</v>
      </c>
      <c r="K12" s="339">
        <f t="shared" si="12"/>
        <v>0</v>
      </c>
      <c r="L12" s="339">
        <f t="shared" si="12"/>
        <v>0</v>
      </c>
      <c r="M12" s="339">
        <f t="shared" si="12"/>
        <v>0</v>
      </c>
      <c r="N12" s="339">
        <f t="shared" si="12"/>
        <v>0</v>
      </c>
      <c r="O12" s="339">
        <f t="shared" si="12"/>
        <v>0</v>
      </c>
      <c r="P12" s="339">
        <f t="shared" si="12"/>
        <v>0</v>
      </c>
      <c r="Q12" s="339">
        <f t="shared" si="12"/>
        <v>0</v>
      </c>
      <c r="R12" s="339">
        <f t="shared" si="12"/>
        <v>0</v>
      </c>
      <c r="S12" s="339">
        <f t="shared" si="12"/>
        <v>0</v>
      </c>
      <c r="T12" s="339">
        <f t="shared" si="12"/>
        <v>0</v>
      </c>
      <c r="U12" s="339">
        <f t="shared" si="12"/>
        <v>0</v>
      </c>
      <c r="V12" s="339">
        <f t="shared" si="12"/>
        <v>0</v>
      </c>
      <c r="W12" s="339">
        <f t="shared" si="12"/>
        <v>0</v>
      </c>
      <c r="X12" s="339">
        <f t="shared" si="12"/>
        <v>0</v>
      </c>
      <c r="Y12" s="339">
        <f t="shared" si="12"/>
        <v>0</v>
      </c>
      <c r="Z12" s="339">
        <f t="shared" si="12"/>
        <v>0</v>
      </c>
      <c r="AA12" s="339">
        <f t="shared" si="12"/>
        <v>0</v>
      </c>
      <c r="AB12" s="339">
        <f t="shared" si="12"/>
        <v>0</v>
      </c>
      <c r="AC12" s="339">
        <f t="shared" si="12"/>
        <v>0</v>
      </c>
      <c r="AD12" s="339">
        <f t="shared" si="12"/>
        <v>0</v>
      </c>
      <c r="AE12" s="339">
        <f t="shared" si="12"/>
        <v>0</v>
      </c>
      <c r="AF12" s="339">
        <f t="shared" si="12"/>
        <v>0</v>
      </c>
      <c r="AG12" s="339">
        <f t="shared" si="12"/>
        <v>0</v>
      </c>
      <c r="AH12" s="339">
        <f t="shared" ref="AH12:AL12" si="13">AH36*CH4GWP+AH40*N2OGWP</f>
        <v>0</v>
      </c>
      <c r="AI12" s="339">
        <f t="shared" si="13"/>
        <v>0</v>
      </c>
      <c r="AJ12" s="339">
        <f t="shared" si="13"/>
        <v>0</v>
      </c>
      <c r="AK12" s="339">
        <f t="shared" si="13"/>
        <v>0</v>
      </c>
      <c r="AL12" s="339">
        <f t="shared" si="13"/>
        <v>0</v>
      </c>
    </row>
    <row r="13" spans="1:60" s="48" customFormat="1" ht="14">
      <c r="B13" s="347" t="s">
        <v>132</v>
      </c>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52"/>
      <c r="AN13" s="52"/>
      <c r="AO13" s="52"/>
      <c r="AP13" s="52"/>
      <c r="AQ13" s="52"/>
      <c r="AR13" s="52"/>
      <c r="AS13" s="52"/>
      <c r="AT13" s="52"/>
      <c r="AU13" s="52"/>
      <c r="AV13" s="51"/>
      <c r="AW13" s="52"/>
      <c r="AX13" s="52"/>
      <c r="AY13" s="52"/>
      <c r="AZ13" s="52"/>
      <c r="BA13" s="52"/>
      <c r="BB13" s="52"/>
      <c r="BC13" s="52"/>
      <c r="BD13" s="52"/>
      <c r="BE13" s="52"/>
      <c r="BF13" s="52"/>
      <c r="BG13" s="52"/>
      <c r="BH13" s="52"/>
    </row>
    <row r="14" spans="1:60" s="368" customFormat="1" ht="13">
      <c r="B14" s="347" t="s">
        <v>143</v>
      </c>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row>
    <row r="15" spans="1:60" ht="14.5" thickBot="1">
      <c r="B15" s="120" t="s">
        <v>133</v>
      </c>
      <c r="C15" s="371"/>
      <c r="D15" s="371"/>
      <c r="E15" s="371"/>
      <c r="F15" s="371"/>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c r="AG15" s="371"/>
      <c r="AH15" s="371"/>
      <c r="AI15" s="371"/>
      <c r="AJ15" s="371"/>
      <c r="AK15" s="371"/>
      <c r="AL15" s="371"/>
    </row>
    <row r="16" spans="1:60" ht="14.5" thickBot="1">
      <c r="B16" s="73" t="s">
        <v>30</v>
      </c>
      <c r="C16" s="215">
        <f t="shared" ref="C16:AG16" si="14">SUM(C6:C12,C13:C15)</f>
        <v>29.416809213452723</v>
      </c>
      <c r="D16" s="215">
        <f t="shared" si="14"/>
        <v>28.237728409590716</v>
      </c>
      <c r="E16" s="215">
        <f t="shared" si="14"/>
        <v>28.786542562537203</v>
      </c>
      <c r="F16" s="215">
        <f t="shared" si="14"/>
        <v>30.283642667819173</v>
      </c>
      <c r="G16" s="215">
        <f t="shared" si="14"/>
        <v>29.262614794469876</v>
      </c>
      <c r="H16" s="215">
        <f t="shared" si="14"/>
        <v>28.076241904172644</v>
      </c>
      <c r="I16" s="215">
        <f t="shared" si="14"/>
        <v>28.634002865524138</v>
      </c>
      <c r="J16" s="215">
        <f t="shared" si="14"/>
        <v>27.146421848593778</v>
      </c>
      <c r="K16" s="215">
        <f t="shared" si="14"/>
        <v>28.14809137171758</v>
      </c>
      <c r="L16" s="215">
        <f t="shared" si="14"/>
        <v>27.397913914993055</v>
      </c>
      <c r="M16" s="215">
        <f t="shared" si="14"/>
        <v>26.790015322366258</v>
      </c>
      <c r="N16" s="215">
        <f t="shared" si="14"/>
        <v>27.862463616256324</v>
      </c>
      <c r="O16" s="215">
        <f t="shared" si="14"/>
        <v>26.923984137539335</v>
      </c>
      <c r="P16" s="215">
        <f t="shared" si="14"/>
        <v>25.979380823862837</v>
      </c>
      <c r="Q16" s="215">
        <f t="shared" si="14"/>
        <v>28.006760002998526</v>
      </c>
      <c r="R16" s="215">
        <f t="shared" si="14"/>
        <v>26.226559128619609</v>
      </c>
      <c r="S16" s="215">
        <f t="shared" si="14"/>
        <v>27.157474856214279</v>
      </c>
      <c r="T16" s="215">
        <f t="shared" si="14"/>
        <v>26.758367734198114</v>
      </c>
      <c r="U16" s="215">
        <f t="shared" si="14"/>
        <v>27.150200074506525</v>
      </c>
      <c r="V16" s="215">
        <f t="shared" si="14"/>
        <v>25.129761764082993</v>
      </c>
      <c r="W16" s="215">
        <f t="shared" si="14"/>
        <v>26.019939495240106</v>
      </c>
      <c r="X16" s="215">
        <f t="shared" si="14"/>
        <v>26.640465801121668</v>
      </c>
      <c r="Y16" s="215">
        <f t="shared" si="14"/>
        <v>25.108536026594468</v>
      </c>
      <c r="Z16" s="215">
        <f t="shared" si="14"/>
        <v>28.479238465058877</v>
      </c>
      <c r="AA16" s="215">
        <f t="shared" si="14"/>
        <v>29.874678545694778</v>
      </c>
      <c r="AB16" s="215">
        <f t="shared" si="14"/>
        <v>28.774472690713715</v>
      </c>
      <c r="AC16" s="215">
        <f t="shared" si="14"/>
        <v>28.138592779752408</v>
      </c>
      <c r="AD16" s="215">
        <f t="shared" si="14"/>
        <v>29.316328290270047</v>
      </c>
      <c r="AE16" s="215">
        <f t="shared" si="14"/>
        <v>31.482602448167196</v>
      </c>
      <c r="AF16" s="215">
        <f t="shared" si="14"/>
        <v>28.581602292350041</v>
      </c>
      <c r="AG16" s="215">
        <f t="shared" si="14"/>
        <v>27.761590295302181</v>
      </c>
      <c r="AH16" s="215">
        <f t="shared" ref="AH16:AL16" si="15">SUM(AH6:AH12,AH13:AH15)</f>
        <v>27.120146492352621</v>
      </c>
      <c r="AI16" s="215">
        <f t="shared" si="15"/>
        <v>0</v>
      </c>
      <c r="AJ16" s="215">
        <f t="shared" si="15"/>
        <v>0</v>
      </c>
      <c r="AK16" s="215">
        <f t="shared" si="15"/>
        <v>0</v>
      </c>
      <c r="AL16" s="215">
        <f t="shared" si="15"/>
        <v>0</v>
      </c>
    </row>
    <row r="17" spans="2:38" ht="32.15" hidden="1" customHeight="1" thickBot="1">
      <c r="B17" s="73" t="s">
        <v>106</v>
      </c>
      <c r="C17" s="74"/>
      <c r="D17" s="74"/>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row>
    <row r="18" spans="2:38" ht="14.5" hidden="1" thickBot="1">
      <c r="B18" s="75"/>
      <c r="C18" s="73">
        <v>1990</v>
      </c>
      <c r="D18" s="73">
        <v>1991</v>
      </c>
      <c r="E18" s="73">
        <v>1992</v>
      </c>
      <c r="F18" s="73">
        <v>1993</v>
      </c>
      <c r="G18" s="73">
        <v>1994</v>
      </c>
      <c r="H18" s="73">
        <v>1995</v>
      </c>
      <c r="I18" s="73">
        <v>1996</v>
      </c>
      <c r="J18" s="73">
        <v>1997</v>
      </c>
      <c r="K18" s="73">
        <v>1998</v>
      </c>
      <c r="L18" s="73">
        <v>1999</v>
      </c>
      <c r="M18" s="73">
        <v>2000</v>
      </c>
      <c r="N18" s="73">
        <v>2001</v>
      </c>
      <c r="O18" s="73">
        <v>2002</v>
      </c>
      <c r="P18" s="73">
        <v>2003</v>
      </c>
      <c r="Q18" s="73">
        <v>2004</v>
      </c>
      <c r="R18" s="73">
        <v>2005</v>
      </c>
      <c r="S18" s="73">
        <v>2006</v>
      </c>
      <c r="T18" s="73">
        <v>2007</v>
      </c>
      <c r="U18" s="73">
        <v>2008</v>
      </c>
      <c r="V18" s="73">
        <v>2009</v>
      </c>
      <c r="W18" s="73">
        <v>2010</v>
      </c>
      <c r="X18" s="73">
        <v>2011</v>
      </c>
      <c r="Y18" s="73">
        <v>2012</v>
      </c>
      <c r="Z18" s="73">
        <v>2013</v>
      </c>
      <c r="AA18" s="73">
        <v>2014</v>
      </c>
      <c r="AB18" s="73">
        <v>2015</v>
      </c>
      <c r="AC18" s="73">
        <v>2016</v>
      </c>
      <c r="AD18" s="73">
        <v>2017</v>
      </c>
      <c r="AE18" s="73">
        <v>2018</v>
      </c>
      <c r="AF18" s="73">
        <v>2019</v>
      </c>
      <c r="AG18" s="73">
        <v>2020</v>
      </c>
      <c r="AH18" s="73">
        <v>2021</v>
      </c>
      <c r="AI18" s="73">
        <v>2022</v>
      </c>
      <c r="AJ18" s="73">
        <v>2023</v>
      </c>
      <c r="AK18" s="73">
        <v>2024</v>
      </c>
      <c r="AL18" s="73">
        <v>2025</v>
      </c>
    </row>
    <row r="19" spans="2:38" ht="14" hidden="1">
      <c r="B19" s="76" t="s">
        <v>136</v>
      </c>
      <c r="C19" s="214">
        <f t="shared" ref="C19:AG19" si="16">C6*C_CO2</f>
        <v>0.94039260464774799</v>
      </c>
      <c r="D19" s="214">
        <f t="shared" si="16"/>
        <v>0.96235025944356212</v>
      </c>
      <c r="E19" s="214">
        <f t="shared" si="16"/>
        <v>0.97668057289474541</v>
      </c>
      <c r="F19" s="214">
        <f t="shared" si="16"/>
        <v>0.99015972167812993</v>
      </c>
      <c r="G19" s="214">
        <f t="shared" si="16"/>
        <v>0.97854963345394164</v>
      </c>
      <c r="H19" s="214">
        <f t="shared" si="16"/>
        <v>0.92910182904039462</v>
      </c>
      <c r="I19" s="214">
        <f t="shared" si="16"/>
        <v>0.88751782128440249</v>
      </c>
      <c r="J19" s="214">
        <f t="shared" si="16"/>
        <v>0.86302095582888327</v>
      </c>
      <c r="K19" s="214">
        <f t="shared" si="16"/>
        <v>0.84698016196791959</v>
      </c>
      <c r="L19" s="214">
        <f t="shared" si="16"/>
        <v>0.86250940477086702</v>
      </c>
      <c r="M19" s="214">
        <f t="shared" si="16"/>
        <v>0.85936446992493298</v>
      </c>
      <c r="N19" s="214">
        <f t="shared" si="16"/>
        <v>0.828202986898946</v>
      </c>
      <c r="O19" s="214">
        <f t="shared" si="16"/>
        <v>0.81603658501459841</v>
      </c>
      <c r="P19" s="214">
        <f t="shared" si="16"/>
        <v>0.79017656412928727</v>
      </c>
      <c r="Q19" s="214">
        <f t="shared" si="16"/>
        <v>0.76218975782864473</v>
      </c>
      <c r="R19" s="214">
        <f t="shared" si="16"/>
        <v>0.78940533686035574</v>
      </c>
      <c r="S19" s="214">
        <f t="shared" si="16"/>
        <v>0.78946783517776209</v>
      </c>
      <c r="T19" s="214">
        <f t="shared" si="16"/>
        <v>0.78216119948712015</v>
      </c>
      <c r="U19" s="214">
        <f t="shared" si="16"/>
        <v>0.7330601985262919</v>
      </c>
      <c r="V19" s="214">
        <f t="shared" si="16"/>
        <v>0.71619397584705435</v>
      </c>
      <c r="W19" s="214">
        <f t="shared" si="16"/>
        <v>0.69478149805029032</v>
      </c>
      <c r="X19" s="214">
        <f t="shared" si="16"/>
        <v>0.66773269164761406</v>
      </c>
      <c r="Y19" s="214">
        <f t="shared" si="16"/>
        <v>0.65207395352140918</v>
      </c>
      <c r="Z19" s="214">
        <f t="shared" si="16"/>
        <v>0.6717320021368941</v>
      </c>
      <c r="AA19" s="214">
        <f t="shared" si="16"/>
        <v>0.6767777863670853</v>
      </c>
      <c r="AB19" s="214">
        <f t="shared" si="16"/>
        <v>0.67347347492043919</v>
      </c>
      <c r="AC19" s="214">
        <f t="shared" si="16"/>
        <v>0.69456822079736635</v>
      </c>
      <c r="AD19" s="214">
        <f t="shared" si="16"/>
        <v>0.71699714320899</v>
      </c>
      <c r="AE19" s="214">
        <f t="shared" si="16"/>
        <v>0.69617526977312105</v>
      </c>
      <c r="AF19" s="214">
        <f t="shared" si="16"/>
        <v>0.63481876411931981</v>
      </c>
      <c r="AG19" s="214">
        <f t="shared" si="16"/>
        <v>0.62160734785053195</v>
      </c>
      <c r="AH19" s="214">
        <f t="shared" ref="AH19:AL19" si="17">AH6*C_CO2</f>
        <v>0.67484718702147795</v>
      </c>
      <c r="AI19" s="214">
        <f t="shared" si="17"/>
        <v>0</v>
      </c>
      <c r="AJ19" s="214">
        <f t="shared" si="17"/>
        <v>0</v>
      </c>
      <c r="AK19" s="214">
        <f t="shared" si="17"/>
        <v>0</v>
      </c>
      <c r="AL19" s="214">
        <f t="shared" si="17"/>
        <v>0</v>
      </c>
    </row>
    <row r="20" spans="2:38" ht="14" hidden="1">
      <c r="B20" s="76" t="s">
        <v>137</v>
      </c>
      <c r="C20" s="214">
        <f t="shared" ref="C20:AG20" si="18">C7*C_CO2</f>
        <v>0.64247973910380485</v>
      </c>
      <c r="D20" s="214">
        <f t="shared" si="18"/>
        <v>0.7053547882039447</v>
      </c>
      <c r="E20" s="214">
        <f t="shared" si="18"/>
        <v>0.63632990066466155</v>
      </c>
      <c r="F20" s="214">
        <f t="shared" si="18"/>
        <v>0.6483430582864107</v>
      </c>
      <c r="G20" s="214">
        <f t="shared" si="18"/>
        <v>0.65914565030083516</v>
      </c>
      <c r="H20" s="214">
        <f t="shared" si="18"/>
        <v>0.64298008973244258</v>
      </c>
      <c r="I20" s="214">
        <f t="shared" si="18"/>
        <v>0.55637032653864071</v>
      </c>
      <c r="J20" s="214">
        <f t="shared" si="18"/>
        <v>0.5304500249152061</v>
      </c>
      <c r="K20" s="214">
        <f t="shared" si="18"/>
        <v>0.5933684834972176</v>
      </c>
      <c r="L20" s="214">
        <f t="shared" si="18"/>
        <v>0.5228965038962029</v>
      </c>
      <c r="M20" s="214">
        <f t="shared" si="18"/>
        <v>0.50195603841447689</v>
      </c>
      <c r="N20" s="214">
        <f t="shared" si="18"/>
        <v>0.50818284258271607</v>
      </c>
      <c r="O20" s="214">
        <f t="shared" si="18"/>
        <v>0.53562372860194973</v>
      </c>
      <c r="P20" s="214">
        <f t="shared" si="18"/>
        <v>0.49138015903134158</v>
      </c>
      <c r="Q20" s="214">
        <f t="shared" si="18"/>
        <v>0.45808414706643946</v>
      </c>
      <c r="R20" s="214">
        <f t="shared" si="18"/>
        <v>0.50395535681115511</v>
      </c>
      <c r="S20" s="214">
        <f t="shared" si="18"/>
        <v>0.50525074238736356</v>
      </c>
      <c r="T20" s="214">
        <f t="shared" si="18"/>
        <v>0.52767956443345654</v>
      </c>
      <c r="U20" s="214">
        <f t="shared" si="18"/>
        <v>0.49483041505786302</v>
      </c>
      <c r="V20" s="214">
        <f t="shared" si="18"/>
        <v>0.47392009188715956</v>
      </c>
      <c r="W20" s="214">
        <f t="shared" si="18"/>
        <v>0.55018222400938077</v>
      </c>
      <c r="X20" s="214">
        <f t="shared" si="18"/>
        <v>0.5426150010620906</v>
      </c>
      <c r="Y20" s="214">
        <f t="shared" si="18"/>
        <v>0.59283437327406507</v>
      </c>
      <c r="Z20" s="214">
        <f t="shared" si="18"/>
        <v>0.54326763874097961</v>
      </c>
      <c r="AA20" s="214">
        <f t="shared" si="18"/>
        <v>0.52727559165568672</v>
      </c>
      <c r="AB20" s="214">
        <f t="shared" si="18"/>
        <v>0.58483113586052171</v>
      </c>
      <c r="AC20" s="214">
        <f t="shared" si="18"/>
        <v>0.63938168158258957</v>
      </c>
      <c r="AD20" s="214">
        <f t="shared" si="18"/>
        <v>0.62477288002430265</v>
      </c>
      <c r="AE20" s="214">
        <f t="shared" si="18"/>
        <v>0.655927733119954</v>
      </c>
      <c r="AF20" s="214">
        <f t="shared" si="18"/>
        <v>0.64995957878465382</v>
      </c>
      <c r="AG20" s="214">
        <f t="shared" si="18"/>
        <v>0.65386786069683733</v>
      </c>
      <c r="AH20" s="214">
        <f t="shared" ref="AH20:AL20" si="19">AH7*C_CO2</f>
        <v>0.65690192003171155</v>
      </c>
      <c r="AI20" s="214">
        <f t="shared" si="19"/>
        <v>0</v>
      </c>
      <c r="AJ20" s="214">
        <f t="shared" si="19"/>
        <v>0</v>
      </c>
      <c r="AK20" s="214">
        <f t="shared" si="19"/>
        <v>0</v>
      </c>
      <c r="AL20" s="214">
        <f t="shared" si="19"/>
        <v>0</v>
      </c>
    </row>
    <row r="21" spans="2:38" ht="14" hidden="1">
      <c r="B21" s="130" t="s">
        <v>138</v>
      </c>
      <c r="C21" s="214">
        <f t="shared" ref="C21:AG21" si="20">C8*C_CO2</f>
        <v>6.2110326940771952</v>
      </c>
      <c r="D21" s="214">
        <f t="shared" si="20"/>
        <v>5.8402844968404199</v>
      </c>
      <c r="E21" s="214">
        <f t="shared" si="20"/>
        <v>6.0390946764536295</v>
      </c>
      <c r="F21" s="214">
        <f t="shared" si="20"/>
        <v>6.4574270363931294</v>
      </c>
      <c r="G21" s="214">
        <f t="shared" si="20"/>
        <v>6.1838971666169735</v>
      </c>
      <c r="H21" s="214">
        <f t="shared" si="20"/>
        <v>5.8669803061944306</v>
      </c>
      <c r="I21" s="214">
        <f t="shared" si="20"/>
        <v>6.1495377534007121</v>
      </c>
      <c r="J21" s="214">
        <f t="shared" si="20"/>
        <v>5.8089337109819894</v>
      </c>
      <c r="K21" s="214">
        <f t="shared" si="20"/>
        <v>6.0413198048861556</v>
      </c>
      <c r="L21" s="214">
        <f t="shared" si="20"/>
        <v>5.9162887953438332</v>
      </c>
      <c r="M21" s="214">
        <f t="shared" si="20"/>
        <v>5.7989014209987362</v>
      </c>
      <c r="N21" s="214">
        <f t="shared" si="20"/>
        <v>6.0624426874328075</v>
      </c>
      <c r="O21" s="214">
        <f t="shared" si="20"/>
        <v>5.8472156158267277</v>
      </c>
      <c r="P21" s="214">
        <f t="shared" si="20"/>
        <v>5.6177095773593972</v>
      </c>
      <c r="Q21" s="214">
        <f t="shared" si="20"/>
        <v>6.1925593308315632</v>
      </c>
      <c r="R21" s="214">
        <f t="shared" si="20"/>
        <v>5.6341267262042889</v>
      </c>
      <c r="S21" s="214">
        <f t="shared" si="20"/>
        <v>5.9325644329722529</v>
      </c>
      <c r="T21" s="214">
        <f t="shared" si="20"/>
        <v>5.7403494678628277</v>
      </c>
      <c r="U21" s="214">
        <f t="shared" si="20"/>
        <v>6.0486147524733083</v>
      </c>
      <c r="V21" s="214">
        <f t="shared" si="20"/>
        <v>5.6634573224702383</v>
      </c>
      <c r="W21" s="214">
        <f t="shared" si="20"/>
        <v>5.6502301476122412</v>
      </c>
      <c r="X21" s="214">
        <f t="shared" si="20"/>
        <v>5.9074130720163742</v>
      </c>
      <c r="Y21" s="214">
        <f t="shared" si="20"/>
        <v>5.3391876360026806</v>
      </c>
      <c r="Z21" s="214">
        <f t="shared" si="20"/>
        <v>6.3684366902487168</v>
      </c>
      <c r="AA21" s="214">
        <f t="shared" si="20"/>
        <v>6.7740214203974896</v>
      </c>
      <c r="AB21" s="214">
        <f t="shared" si="20"/>
        <v>6.4118372516815851</v>
      </c>
      <c r="AC21" s="214">
        <f t="shared" si="20"/>
        <v>6.2002946741078171</v>
      </c>
      <c r="AD21" s="214">
        <f t="shared" si="20"/>
        <v>6.4914430039273876</v>
      </c>
      <c r="AE21" s="214">
        <f t="shared" si="20"/>
        <v>7.0932031470535284</v>
      </c>
      <c r="AF21" s="214">
        <f t="shared" si="20"/>
        <v>6.4427614226877612</v>
      </c>
      <c r="AG21" s="214">
        <f t="shared" si="20"/>
        <v>6.2070493677881755</v>
      </c>
      <c r="AH21" s="214">
        <f t="shared" ref="AH21:AL21" si="21">AH8*C_CO2</f>
        <v>5.9390044361564645</v>
      </c>
      <c r="AI21" s="214">
        <f t="shared" si="21"/>
        <v>0</v>
      </c>
      <c r="AJ21" s="214">
        <f t="shared" si="21"/>
        <v>0</v>
      </c>
      <c r="AK21" s="214">
        <f t="shared" si="21"/>
        <v>0</v>
      </c>
      <c r="AL21" s="214">
        <f t="shared" si="21"/>
        <v>0</v>
      </c>
    </row>
    <row r="22" spans="2:38" ht="14" hidden="1">
      <c r="B22" s="76" t="s">
        <v>139</v>
      </c>
      <c r="C22" s="214">
        <f t="shared" ref="C22:AG22" si="22">C9*C_CO2</f>
        <v>0</v>
      </c>
      <c r="D22" s="214">
        <f t="shared" si="22"/>
        <v>0</v>
      </c>
      <c r="E22" s="214">
        <f t="shared" si="22"/>
        <v>0</v>
      </c>
      <c r="F22" s="214">
        <f t="shared" si="22"/>
        <v>0</v>
      </c>
      <c r="G22" s="214">
        <f t="shared" si="22"/>
        <v>0</v>
      </c>
      <c r="H22" s="214">
        <f t="shared" si="22"/>
        <v>0</v>
      </c>
      <c r="I22" s="214">
        <f t="shared" si="22"/>
        <v>0</v>
      </c>
      <c r="J22" s="214">
        <f t="shared" si="22"/>
        <v>0</v>
      </c>
      <c r="K22" s="214">
        <f t="shared" si="22"/>
        <v>0</v>
      </c>
      <c r="L22" s="214">
        <f t="shared" si="22"/>
        <v>0</v>
      </c>
      <c r="M22" s="214">
        <f t="shared" si="22"/>
        <v>0</v>
      </c>
      <c r="N22" s="214">
        <f t="shared" si="22"/>
        <v>0</v>
      </c>
      <c r="O22" s="214">
        <f t="shared" si="22"/>
        <v>0</v>
      </c>
      <c r="P22" s="214">
        <f t="shared" si="22"/>
        <v>0</v>
      </c>
      <c r="Q22" s="214">
        <f t="shared" si="22"/>
        <v>0</v>
      </c>
      <c r="R22" s="214">
        <f t="shared" si="22"/>
        <v>0</v>
      </c>
      <c r="S22" s="214">
        <f t="shared" si="22"/>
        <v>0</v>
      </c>
      <c r="T22" s="214">
        <f t="shared" si="22"/>
        <v>0</v>
      </c>
      <c r="U22" s="214">
        <f t="shared" si="22"/>
        <v>0</v>
      </c>
      <c r="V22" s="214">
        <f t="shared" si="22"/>
        <v>0</v>
      </c>
      <c r="W22" s="214">
        <f t="shared" si="22"/>
        <v>0</v>
      </c>
      <c r="X22" s="214">
        <f t="shared" si="22"/>
        <v>0</v>
      </c>
      <c r="Y22" s="214">
        <f t="shared" si="22"/>
        <v>0</v>
      </c>
      <c r="Z22" s="214">
        <f t="shared" si="22"/>
        <v>0</v>
      </c>
      <c r="AA22" s="214">
        <f t="shared" si="22"/>
        <v>0</v>
      </c>
      <c r="AB22" s="214">
        <f t="shared" si="22"/>
        <v>0</v>
      </c>
      <c r="AC22" s="214">
        <f t="shared" si="22"/>
        <v>0</v>
      </c>
      <c r="AD22" s="214">
        <f t="shared" si="22"/>
        <v>0</v>
      </c>
      <c r="AE22" s="214">
        <f t="shared" si="22"/>
        <v>0</v>
      </c>
      <c r="AF22" s="214">
        <f t="shared" si="22"/>
        <v>0</v>
      </c>
      <c r="AG22" s="214">
        <f t="shared" si="22"/>
        <v>0</v>
      </c>
      <c r="AH22" s="214">
        <f t="shared" ref="AH22:AL22" si="23">AH9*C_CO2</f>
        <v>0</v>
      </c>
      <c r="AI22" s="214">
        <f t="shared" si="23"/>
        <v>0</v>
      </c>
      <c r="AJ22" s="214">
        <f t="shared" si="23"/>
        <v>0</v>
      </c>
      <c r="AK22" s="214">
        <f t="shared" si="23"/>
        <v>0</v>
      </c>
      <c r="AL22" s="214">
        <f t="shared" si="23"/>
        <v>0</v>
      </c>
    </row>
    <row r="23" spans="2:38" ht="14" hidden="1">
      <c r="B23" s="76" t="s">
        <v>142</v>
      </c>
      <c r="C23" s="214">
        <f t="shared" ref="C23:AG23" si="24">C12*C_CO2</f>
        <v>0</v>
      </c>
      <c r="D23" s="214">
        <f t="shared" si="24"/>
        <v>0</v>
      </c>
      <c r="E23" s="214">
        <f t="shared" si="24"/>
        <v>0</v>
      </c>
      <c r="F23" s="214">
        <f t="shared" si="24"/>
        <v>0</v>
      </c>
      <c r="G23" s="214">
        <f t="shared" si="24"/>
        <v>0</v>
      </c>
      <c r="H23" s="214">
        <f t="shared" si="24"/>
        <v>0</v>
      </c>
      <c r="I23" s="214">
        <f t="shared" si="24"/>
        <v>0</v>
      </c>
      <c r="J23" s="214">
        <f t="shared" si="24"/>
        <v>0</v>
      </c>
      <c r="K23" s="214">
        <f t="shared" si="24"/>
        <v>0</v>
      </c>
      <c r="L23" s="214">
        <f t="shared" si="24"/>
        <v>0</v>
      </c>
      <c r="M23" s="214">
        <f t="shared" si="24"/>
        <v>0</v>
      </c>
      <c r="N23" s="214">
        <f t="shared" si="24"/>
        <v>0</v>
      </c>
      <c r="O23" s="214">
        <f t="shared" si="24"/>
        <v>0</v>
      </c>
      <c r="P23" s="214">
        <f t="shared" si="24"/>
        <v>0</v>
      </c>
      <c r="Q23" s="214">
        <f t="shared" si="24"/>
        <v>0</v>
      </c>
      <c r="R23" s="214">
        <f t="shared" si="24"/>
        <v>0</v>
      </c>
      <c r="S23" s="214">
        <f t="shared" si="24"/>
        <v>0</v>
      </c>
      <c r="T23" s="214">
        <f t="shared" si="24"/>
        <v>0</v>
      </c>
      <c r="U23" s="214">
        <f t="shared" si="24"/>
        <v>0</v>
      </c>
      <c r="V23" s="214">
        <f t="shared" si="24"/>
        <v>0</v>
      </c>
      <c r="W23" s="214">
        <f t="shared" si="24"/>
        <v>0</v>
      </c>
      <c r="X23" s="214">
        <f t="shared" si="24"/>
        <v>0</v>
      </c>
      <c r="Y23" s="214">
        <f t="shared" si="24"/>
        <v>0</v>
      </c>
      <c r="Z23" s="214">
        <f t="shared" si="24"/>
        <v>0</v>
      </c>
      <c r="AA23" s="214">
        <f t="shared" si="24"/>
        <v>0</v>
      </c>
      <c r="AB23" s="214">
        <f t="shared" si="24"/>
        <v>0</v>
      </c>
      <c r="AC23" s="214">
        <f t="shared" si="24"/>
        <v>0</v>
      </c>
      <c r="AD23" s="214">
        <f t="shared" si="24"/>
        <v>0</v>
      </c>
      <c r="AE23" s="214">
        <f t="shared" si="24"/>
        <v>0</v>
      </c>
      <c r="AF23" s="214">
        <f t="shared" si="24"/>
        <v>0</v>
      </c>
      <c r="AG23" s="214">
        <f t="shared" si="24"/>
        <v>0</v>
      </c>
      <c r="AH23" s="214">
        <f t="shared" ref="AH23:AL23" si="25">AH12*C_CO2</f>
        <v>0</v>
      </c>
      <c r="AI23" s="214">
        <f t="shared" si="25"/>
        <v>0</v>
      </c>
      <c r="AJ23" s="214">
        <f t="shared" si="25"/>
        <v>0</v>
      </c>
      <c r="AK23" s="214">
        <f t="shared" si="25"/>
        <v>0</v>
      </c>
      <c r="AL23" s="214">
        <f t="shared" si="25"/>
        <v>0</v>
      </c>
    </row>
    <row r="24" spans="2:38" ht="14.5" hidden="1" thickBot="1">
      <c r="B24" s="73" t="s">
        <v>30</v>
      </c>
      <c r="C24" s="215">
        <f t="shared" ref="C24:L24" si="26">SUM(C19:C23)</f>
        <v>7.7939050378287478</v>
      </c>
      <c r="D24" s="215">
        <f t="shared" si="26"/>
        <v>7.507989544487927</v>
      </c>
      <c r="E24" s="215">
        <f t="shared" si="26"/>
        <v>7.6521051500130364</v>
      </c>
      <c r="F24" s="215">
        <f t="shared" si="26"/>
        <v>8.0959298163576694</v>
      </c>
      <c r="G24" s="215">
        <f t="shared" si="26"/>
        <v>7.8215924503717504</v>
      </c>
      <c r="H24" s="215">
        <f t="shared" si="26"/>
        <v>7.4390622249672678</v>
      </c>
      <c r="I24" s="215">
        <f t="shared" si="26"/>
        <v>7.593425901223755</v>
      </c>
      <c r="J24" s="215">
        <f t="shared" si="26"/>
        <v>7.2024046917260787</v>
      </c>
      <c r="K24" s="215">
        <f t="shared" si="26"/>
        <v>7.4816684503512931</v>
      </c>
      <c r="L24" s="215">
        <f t="shared" si="26"/>
        <v>7.3016947040109033</v>
      </c>
      <c r="M24" s="215">
        <f t="shared" ref="M24:R24" si="27">SUM(M19:M23)</f>
        <v>7.1602219293381459</v>
      </c>
      <c r="N24" s="215">
        <f t="shared" si="27"/>
        <v>7.3988285169144694</v>
      </c>
      <c r="O24" s="215">
        <f t="shared" si="27"/>
        <v>7.1988759294432754</v>
      </c>
      <c r="P24" s="215">
        <f t="shared" si="27"/>
        <v>6.8992663005200257</v>
      </c>
      <c r="Q24" s="215">
        <f t="shared" si="27"/>
        <v>7.4128332357266471</v>
      </c>
      <c r="R24" s="215">
        <f t="shared" si="27"/>
        <v>6.9274874198757992</v>
      </c>
      <c r="S24" s="215">
        <f t="shared" ref="S24:AG24" si="28">SUM(S19:S23)</f>
        <v>7.2272830105373789</v>
      </c>
      <c r="T24" s="215">
        <f t="shared" si="28"/>
        <v>7.0501902317834046</v>
      </c>
      <c r="U24" s="215">
        <f t="shared" si="28"/>
        <v>7.2765053660574637</v>
      </c>
      <c r="V24" s="215">
        <f t="shared" si="28"/>
        <v>6.8535713902044524</v>
      </c>
      <c r="W24" s="215">
        <f t="shared" si="28"/>
        <v>6.8951938696719122</v>
      </c>
      <c r="X24" s="215">
        <f t="shared" si="28"/>
        <v>7.1177607647260785</v>
      </c>
      <c r="Y24" s="215">
        <f t="shared" si="28"/>
        <v>6.5840959627981555</v>
      </c>
      <c r="Z24" s="215">
        <f t="shared" si="28"/>
        <v>7.58343633112659</v>
      </c>
      <c r="AA24" s="215">
        <f t="shared" si="28"/>
        <v>7.9780747984202618</v>
      </c>
      <c r="AB24" s="215">
        <f t="shared" si="28"/>
        <v>7.6701418624625459</v>
      </c>
      <c r="AC24" s="215">
        <f t="shared" si="28"/>
        <v>7.5342445764877732</v>
      </c>
      <c r="AD24" s="215">
        <f t="shared" si="28"/>
        <v>7.8332130271606797</v>
      </c>
      <c r="AE24" s="215">
        <f t="shared" si="28"/>
        <v>8.4453061499466031</v>
      </c>
      <c r="AF24" s="215">
        <f t="shared" si="28"/>
        <v>7.7275397655917351</v>
      </c>
      <c r="AG24" s="215">
        <f t="shared" si="28"/>
        <v>7.4825245763355444</v>
      </c>
      <c r="AH24" s="215">
        <f t="shared" ref="AH24:AL24" si="29">SUM(AH19:AH23)</f>
        <v>7.2707535432096542</v>
      </c>
      <c r="AI24" s="215">
        <f t="shared" si="29"/>
        <v>0</v>
      </c>
      <c r="AJ24" s="215">
        <f t="shared" si="29"/>
        <v>0</v>
      </c>
      <c r="AK24" s="215">
        <f t="shared" si="29"/>
        <v>0</v>
      </c>
      <c r="AL24" s="215">
        <f t="shared" si="29"/>
        <v>0</v>
      </c>
    </row>
    <row r="25" spans="2:38" s="280" customFormat="1" ht="15.5">
      <c r="B25" s="328"/>
      <c r="C25" s="329">
        <v>1</v>
      </c>
      <c r="D25" s="283">
        <f>IF(D5&lt;=$B26,C25+1,0)</f>
        <v>2</v>
      </c>
      <c r="E25" s="283">
        <f t="shared" ref="E25:AL25" si="30">IF(E5&lt;=$B26,D25+1,0)</f>
        <v>3</v>
      </c>
      <c r="F25" s="283">
        <f t="shared" si="30"/>
        <v>4</v>
      </c>
      <c r="G25" s="283">
        <f t="shared" si="30"/>
        <v>5</v>
      </c>
      <c r="H25" s="283">
        <f t="shared" si="30"/>
        <v>6</v>
      </c>
      <c r="I25" s="283">
        <f t="shared" si="30"/>
        <v>7</v>
      </c>
      <c r="J25" s="283">
        <f t="shared" si="30"/>
        <v>8</v>
      </c>
      <c r="K25" s="283">
        <f t="shared" si="30"/>
        <v>9</v>
      </c>
      <c r="L25" s="283">
        <f t="shared" si="30"/>
        <v>10</v>
      </c>
      <c r="M25" s="283">
        <f t="shared" si="30"/>
        <v>11</v>
      </c>
      <c r="N25" s="283">
        <f t="shared" si="30"/>
        <v>12</v>
      </c>
      <c r="O25" s="283">
        <f t="shared" si="30"/>
        <v>13</v>
      </c>
      <c r="P25" s="283">
        <f t="shared" si="30"/>
        <v>14</v>
      </c>
      <c r="Q25" s="283">
        <f t="shared" si="30"/>
        <v>15</v>
      </c>
      <c r="R25" s="283">
        <f t="shared" si="30"/>
        <v>16</v>
      </c>
      <c r="S25" s="283">
        <f t="shared" si="30"/>
        <v>17</v>
      </c>
      <c r="T25" s="283">
        <f t="shared" si="30"/>
        <v>18</v>
      </c>
      <c r="U25" s="283">
        <f t="shared" si="30"/>
        <v>19</v>
      </c>
      <c r="V25" s="283">
        <f t="shared" si="30"/>
        <v>20</v>
      </c>
      <c r="W25" s="283">
        <f t="shared" si="30"/>
        <v>21</v>
      </c>
      <c r="X25" s="283">
        <f t="shared" si="30"/>
        <v>22</v>
      </c>
      <c r="Y25" s="283">
        <f t="shared" si="30"/>
        <v>23</v>
      </c>
      <c r="Z25" s="283">
        <f t="shared" si="30"/>
        <v>24</v>
      </c>
      <c r="AA25" s="283">
        <f t="shared" si="30"/>
        <v>25</v>
      </c>
      <c r="AB25" s="283">
        <f t="shared" si="30"/>
        <v>26</v>
      </c>
      <c r="AC25" s="283">
        <f t="shared" si="30"/>
        <v>27</v>
      </c>
      <c r="AD25" s="283">
        <f t="shared" si="30"/>
        <v>28</v>
      </c>
      <c r="AE25" s="283">
        <f t="shared" si="30"/>
        <v>29</v>
      </c>
      <c r="AF25" s="283">
        <f t="shared" si="30"/>
        <v>30</v>
      </c>
      <c r="AG25" s="283">
        <f t="shared" si="30"/>
        <v>31</v>
      </c>
      <c r="AH25" s="283">
        <f t="shared" si="30"/>
        <v>32</v>
      </c>
      <c r="AI25" s="283">
        <f t="shared" si="30"/>
        <v>0</v>
      </c>
      <c r="AJ25" s="283">
        <f t="shared" si="30"/>
        <v>0</v>
      </c>
      <c r="AK25" s="283">
        <f t="shared" si="30"/>
        <v>0</v>
      </c>
      <c r="AL25" s="283">
        <f t="shared" si="30"/>
        <v>0</v>
      </c>
    </row>
    <row r="26" spans="2:38" s="280" customFormat="1" ht="15.5">
      <c r="B26" s="328">
        <f>MAX(C26:AL26)</f>
        <v>2021</v>
      </c>
      <c r="C26" s="329">
        <f>1990</f>
        <v>1990</v>
      </c>
      <c r="D26" s="283">
        <f>IF(D16=0,0,D5)</f>
        <v>1991</v>
      </c>
      <c r="E26" s="283">
        <f t="shared" ref="E26:AL26" si="31">IF(E16=0,0,E5)</f>
        <v>1992</v>
      </c>
      <c r="F26" s="283">
        <f t="shared" si="31"/>
        <v>1993</v>
      </c>
      <c r="G26" s="283">
        <f t="shared" si="31"/>
        <v>1994</v>
      </c>
      <c r="H26" s="283">
        <f t="shared" si="31"/>
        <v>1995</v>
      </c>
      <c r="I26" s="283">
        <f t="shared" si="31"/>
        <v>1996</v>
      </c>
      <c r="J26" s="283">
        <f t="shared" si="31"/>
        <v>1997</v>
      </c>
      <c r="K26" s="283">
        <f t="shared" si="31"/>
        <v>1998</v>
      </c>
      <c r="L26" s="283">
        <f t="shared" si="31"/>
        <v>1999</v>
      </c>
      <c r="M26" s="283">
        <f t="shared" si="31"/>
        <v>2000</v>
      </c>
      <c r="N26" s="283">
        <f t="shared" si="31"/>
        <v>2001</v>
      </c>
      <c r="O26" s="283">
        <f t="shared" si="31"/>
        <v>2002</v>
      </c>
      <c r="P26" s="283">
        <f t="shared" si="31"/>
        <v>2003</v>
      </c>
      <c r="Q26" s="283">
        <f t="shared" si="31"/>
        <v>2004</v>
      </c>
      <c r="R26" s="283">
        <f t="shared" si="31"/>
        <v>2005</v>
      </c>
      <c r="S26" s="283">
        <f t="shared" si="31"/>
        <v>2006</v>
      </c>
      <c r="T26" s="283">
        <f t="shared" si="31"/>
        <v>2007</v>
      </c>
      <c r="U26" s="283">
        <f t="shared" si="31"/>
        <v>2008</v>
      </c>
      <c r="V26" s="283">
        <f t="shared" si="31"/>
        <v>2009</v>
      </c>
      <c r="W26" s="283">
        <f t="shared" si="31"/>
        <v>2010</v>
      </c>
      <c r="X26" s="283">
        <f t="shared" si="31"/>
        <v>2011</v>
      </c>
      <c r="Y26" s="283">
        <f t="shared" si="31"/>
        <v>2012</v>
      </c>
      <c r="Z26" s="283">
        <f t="shared" si="31"/>
        <v>2013</v>
      </c>
      <c r="AA26" s="283">
        <f t="shared" si="31"/>
        <v>2014</v>
      </c>
      <c r="AB26" s="283">
        <f t="shared" si="31"/>
        <v>2015</v>
      </c>
      <c r="AC26" s="283">
        <f t="shared" si="31"/>
        <v>2016</v>
      </c>
      <c r="AD26" s="283">
        <f t="shared" si="31"/>
        <v>2017</v>
      </c>
      <c r="AE26" s="283">
        <f t="shared" si="31"/>
        <v>2018</v>
      </c>
      <c r="AF26" s="283">
        <f t="shared" si="31"/>
        <v>2019</v>
      </c>
      <c r="AG26" s="283">
        <f t="shared" si="31"/>
        <v>2020</v>
      </c>
      <c r="AH26" s="283">
        <f t="shared" si="31"/>
        <v>2021</v>
      </c>
      <c r="AI26" s="283">
        <f t="shared" si="31"/>
        <v>0</v>
      </c>
      <c r="AJ26" s="283">
        <f t="shared" si="31"/>
        <v>0</v>
      </c>
      <c r="AK26" s="283">
        <f t="shared" si="31"/>
        <v>0</v>
      </c>
      <c r="AL26" s="283">
        <f t="shared" si="31"/>
        <v>0</v>
      </c>
    </row>
    <row r="27" spans="2:38" ht="14.5" thickBot="1">
      <c r="B27" s="73" t="s">
        <v>144</v>
      </c>
      <c r="C27" s="77"/>
      <c r="D27" s="77"/>
      <c r="E27" s="77"/>
      <c r="F27" s="77"/>
      <c r="G27" s="77"/>
      <c r="H27" s="77"/>
      <c r="I27" s="77"/>
      <c r="J27" s="77"/>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row>
    <row r="28" spans="2:38" ht="14.5" thickBot="1">
      <c r="B28" s="75"/>
      <c r="C28" s="73">
        <v>1990</v>
      </c>
      <c r="D28" s="73">
        <v>1991</v>
      </c>
      <c r="E28" s="73">
        <v>1992</v>
      </c>
      <c r="F28" s="73">
        <v>1993</v>
      </c>
      <c r="G28" s="73">
        <v>1994</v>
      </c>
      <c r="H28" s="73">
        <v>1995</v>
      </c>
      <c r="I28" s="73">
        <v>1996</v>
      </c>
      <c r="J28" s="73">
        <v>1997</v>
      </c>
      <c r="K28" s="73">
        <v>1998</v>
      </c>
      <c r="L28" s="73">
        <v>1999</v>
      </c>
      <c r="M28" s="73">
        <v>2000</v>
      </c>
      <c r="N28" s="73">
        <v>2001</v>
      </c>
      <c r="O28" s="73">
        <v>2002</v>
      </c>
      <c r="P28" s="73">
        <v>2003</v>
      </c>
      <c r="Q28" s="73">
        <v>2004</v>
      </c>
      <c r="R28" s="73">
        <v>2005</v>
      </c>
      <c r="S28" s="73">
        <v>2006</v>
      </c>
      <c r="T28" s="73">
        <v>2007</v>
      </c>
      <c r="U28" s="73">
        <v>2008</v>
      </c>
      <c r="V28" s="73">
        <v>2009</v>
      </c>
      <c r="W28" s="73">
        <v>2010</v>
      </c>
      <c r="X28" s="73">
        <v>2011</v>
      </c>
      <c r="Y28" s="73">
        <v>2012</v>
      </c>
      <c r="Z28" s="73">
        <v>2013</v>
      </c>
      <c r="AA28" s="73">
        <v>2014</v>
      </c>
      <c r="AB28" s="73">
        <v>2015</v>
      </c>
      <c r="AC28" s="73">
        <v>2016</v>
      </c>
      <c r="AD28" s="73">
        <v>2017</v>
      </c>
      <c r="AE28" s="73">
        <v>2018</v>
      </c>
      <c r="AF28" s="73">
        <v>2019</v>
      </c>
      <c r="AG28" s="73">
        <v>2020</v>
      </c>
      <c r="AH28" s="73">
        <v>2021</v>
      </c>
      <c r="AI28" s="73">
        <v>2022</v>
      </c>
      <c r="AJ28" s="73">
        <v>2023</v>
      </c>
      <c r="AK28" s="73">
        <v>2024</v>
      </c>
      <c r="AL28" s="73">
        <v>2025</v>
      </c>
    </row>
    <row r="29" spans="2:38" ht="14">
      <c r="B29" s="78" t="s">
        <v>145</v>
      </c>
      <c r="C29" s="302">
        <v>0.95743647064679371</v>
      </c>
      <c r="D29" s="302">
        <v>0.81059036955942987</v>
      </c>
      <c r="E29" s="302">
        <v>0.82558410989180331</v>
      </c>
      <c r="F29" s="302">
        <v>0.69548854102922608</v>
      </c>
      <c r="G29" s="302">
        <v>0.66590405411104925</v>
      </c>
      <c r="H29" s="302">
        <v>0.87778849705551754</v>
      </c>
      <c r="I29" s="302">
        <v>0.86069660101405288</v>
      </c>
      <c r="J29" s="302">
        <v>0.79968622133373524</v>
      </c>
      <c r="K29" s="302">
        <v>0.78563652523158656</v>
      </c>
      <c r="L29" s="302">
        <v>0.68032568766733903</v>
      </c>
      <c r="M29" s="302">
        <v>0.59311305710156259</v>
      </c>
      <c r="N29" s="302">
        <v>0.7985410400238937</v>
      </c>
      <c r="O29" s="302">
        <v>0.58778849434523761</v>
      </c>
      <c r="P29" s="302">
        <v>0.73786132158109563</v>
      </c>
      <c r="Q29" s="302">
        <v>0.87683792723078935</v>
      </c>
      <c r="R29" s="302">
        <v>0.88217961771209774</v>
      </c>
      <c r="S29" s="302">
        <v>0.7198308792966559</v>
      </c>
      <c r="T29" s="302">
        <v>0.96273457775451921</v>
      </c>
      <c r="U29" s="302">
        <v>0.5308806042302664</v>
      </c>
      <c r="V29" s="302">
        <v>5.8465689558196504E-2</v>
      </c>
      <c r="W29" s="302">
        <v>0.78342431645246691</v>
      </c>
      <c r="X29" s="302">
        <v>0.60318412422392609</v>
      </c>
      <c r="Y29" s="302">
        <v>1.0315283814535565</v>
      </c>
      <c r="Z29" s="302">
        <v>0.73853384387007093</v>
      </c>
      <c r="AA29" s="302">
        <v>0.68514252558978384</v>
      </c>
      <c r="AB29" s="302">
        <v>0.71734268227163445</v>
      </c>
      <c r="AC29" s="302">
        <v>0.5926323486274272</v>
      </c>
      <c r="AD29" s="302">
        <v>0.69143125740784439</v>
      </c>
      <c r="AE29" s="302">
        <v>0.61199857438492034</v>
      </c>
      <c r="AF29" s="302">
        <v>0.34905788471197441</v>
      </c>
      <c r="AG29" s="302">
        <v>0.43368430511316203</v>
      </c>
      <c r="AH29" s="302">
        <v>0.57498368046821979</v>
      </c>
      <c r="AI29" s="302">
        <v>0</v>
      </c>
      <c r="AJ29" s="302">
        <v>0</v>
      </c>
      <c r="AK29" s="302">
        <v>0</v>
      </c>
      <c r="AL29" s="302">
        <v>0</v>
      </c>
    </row>
    <row r="30" spans="2:38" ht="14">
      <c r="B30" s="76" t="s">
        <v>146</v>
      </c>
      <c r="C30" s="214">
        <v>0.8391574080806441</v>
      </c>
      <c r="D30" s="214">
        <v>0.70843341313498398</v>
      </c>
      <c r="E30" s="214">
        <v>0.72882367915606894</v>
      </c>
      <c r="F30" s="214">
        <v>0.59856667450771039</v>
      </c>
      <c r="G30" s="214">
        <v>0.58344247644011882</v>
      </c>
      <c r="H30" s="214">
        <v>0.79968041262599143</v>
      </c>
      <c r="I30" s="214">
        <v>0.79144122770370173</v>
      </c>
      <c r="J30" s="214">
        <v>0.73760464559815209</v>
      </c>
      <c r="K30" s="214">
        <v>0.71530705376283943</v>
      </c>
      <c r="L30" s="214">
        <v>0.62503333361974156</v>
      </c>
      <c r="M30" s="214">
        <v>0.53586824812638945</v>
      </c>
      <c r="N30" s="214">
        <v>0.73342572090326719</v>
      </c>
      <c r="O30" s="214">
        <v>0.52810572958065449</v>
      </c>
      <c r="P30" s="214">
        <v>0.68207105528940248</v>
      </c>
      <c r="Q30" s="214">
        <v>0.82637147200081562</v>
      </c>
      <c r="R30" s="214">
        <v>0.82577192240833897</v>
      </c>
      <c r="S30" s="214">
        <v>0.6574371509105541</v>
      </c>
      <c r="T30" s="214">
        <v>0.90767021765896139</v>
      </c>
      <c r="U30" s="214">
        <v>0.46968039896249292</v>
      </c>
      <c r="V30" s="214">
        <v>0</v>
      </c>
      <c r="W30" s="214">
        <v>0.73756197310975924</v>
      </c>
      <c r="X30" s="214">
        <v>0.54200966379270654</v>
      </c>
      <c r="Y30" s="214">
        <v>0.96685082966789626</v>
      </c>
      <c r="Z30" s="214">
        <v>0.67330525092804061</v>
      </c>
      <c r="AA30" s="214">
        <v>0.62173761815381656</v>
      </c>
      <c r="AB30" s="214">
        <v>0.65061919501771082</v>
      </c>
      <c r="AC30" s="214">
        <v>0.51302933263057215</v>
      </c>
      <c r="AD30" s="214">
        <v>0.59454719068087969</v>
      </c>
      <c r="AE30" s="214">
        <v>0.51647989836297814</v>
      </c>
      <c r="AF30" s="214">
        <v>0.24728981851367962</v>
      </c>
      <c r="AG30" s="214">
        <v>0.32566684873851454</v>
      </c>
      <c r="AH30" s="214">
        <v>0.46071683391722229</v>
      </c>
      <c r="AI30" s="214">
        <v>0</v>
      </c>
      <c r="AJ30" s="214">
        <v>0</v>
      </c>
      <c r="AK30" s="214">
        <v>0</v>
      </c>
      <c r="AL30" s="214">
        <v>0</v>
      </c>
    </row>
    <row r="31" spans="2:38" ht="14">
      <c r="B31" s="76" t="s">
        <v>141</v>
      </c>
      <c r="C31" s="214"/>
      <c r="D31" s="214"/>
      <c r="E31" s="214"/>
      <c r="F31" s="214"/>
      <c r="G31" s="214"/>
      <c r="H31" s="214"/>
      <c r="I31" s="214"/>
      <c r="J31" s="214"/>
      <c r="K31" s="214"/>
      <c r="L31" s="214"/>
      <c r="M31" s="214"/>
      <c r="N31" s="214"/>
      <c r="O31" s="214"/>
      <c r="P31" s="214"/>
      <c r="Q31" s="214"/>
      <c r="R31" s="214"/>
      <c r="S31" s="214"/>
      <c r="T31" s="214"/>
      <c r="U31" s="214"/>
      <c r="V31" s="214"/>
      <c r="W31" s="214"/>
      <c r="X31" s="214"/>
      <c r="Y31" s="214"/>
      <c r="Z31" s="214"/>
      <c r="AA31" s="214"/>
      <c r="AB31" s="214"/>
      <c r="AC31" s="214"/>
      <c r="AD31" s="214"/>
      <c r="AE31" s="214"/>
      <c r="AF31" s="214"/>
      <c r="AG31" s="214"/>
      <c r="AH31" s="214"/>
      <c r="AI31" s="214"/>
      <c r="AJ31" s="214"/>
      <c r="AK31" s="214"/>
      <c r="AL31" s="214"/>
    </row>
    <row r="32" spans="2:38" ht="14">
      <c r="B32" s="78" t="s">
        <v>147</v>
      </c>
      <c r="C32" s="302">
        <v>0.19489055051129917</v>
      </c>
      <c r="D32" s="302">
        <v>0.20581967155383796</v>
      </c>
      <c r="E32" s="302">
        <v>0.19873424683331167</v>
      </c>
      <c r="F32" s="302">
        <v>0.20211851299823655</v>
      </c>
      <c r="G32" s="302">
        <v>0.20175335168924022</v>
      </c>
      <c r="H32" s="302">
        <v>0.19370400920461081</v>
      </c>
      <c r="I32" s="302">
        <v>0.17685879013185432</v>
      </c>
      <c r="J32" s="302">
        <v>0.17162942510809787</v>
      </c>
      <c r="K32" s="302">
        <v>0.17900735420270289</v>
      </c>
      <c r="L32" s="302">
        <v>0.17200991770001245</v>
      </c>
      <c r="M32" s="302">
        <v>0.16920343949480834</v>
      </c>
      <c r="N32" s="302">
        <v>0.16642384583972297</v>
      </c>
      <c r="O32" s="302">
        <v>0.16668580229770727</v>
      </c>
      <c r="P32" s="302">
        <v>0.15767478312184638</v>
      </c>
      <c r="Q32" s="302">
        <v>0.15218419782598888</v>
      </c>
      <c r="R32" s="302">
        <v>0.16163178533737191</v>
      </c>
      <c r="S32" s="302">
        <v>0.16186136210927846</v>
      </c>
      <c r="T32" s="302">
        <v>0.16409323449790869</v>
      </c>
      <c r="U32" s="302">
        <v>0.15435125538118655</v>
      </c>
      <c r="V32" s="302">
        <v>0.14917178977190923</v>
      </c>
      <c r="W32" s="302">
        <v>0.15646762743752612</v>
      </c>
      <c r="X32" s="302">
        <v>0.15215081223481985</v>
      </c>
      <c r="Y32" s="302">
        <v>0.15560147033707966</v>
      </c>
      <c r="Z32" s="302">
        <v>0.15176987070852271</v>
      </c>
      <c r="AA32" s="302">
        <v>0.1504597176713601</v>
      </c>
      <c r="AB32" s="302">
        <v>0.15721005235235702</v>
      </c>
      <c r="AC32" s="302">
        <v>0.16717425403045541</v>
      </c>
      <c r="AD32" s="302">
        <v>0.16815160171765908</v>
      </c>
      <c r="AE32" s="302">
        <v>0.16944502452980209</v>
      </c>
      <c r="AF32" s="302">
        <v>0.16146332338506872</v>
      </c>
      <c r="AG32" s="302">
        <v>0.15907356189096886</v>
      </c>
      <c r="AH32" s="302">
        <v>0.16673929029576653</v>
      </c>
      <c r="AI32" s="302">
        <v>0</v>
      </c>
      <c r="AJ32" s="302">
        <v>0</v>
      </c>
      <c r="AK32" s="302">
        <v>0</v>
      </c>
      <c r="AL32" s="302">
        <v>0</v>
      </c>
    </row>
    <row r="33" spans="2:38" ht="14">
      <c r="B33" s="76" t="s">
        <v>136</v>
      </c>
      <c r="C33" s="214">
        <v>0.12314665060863368</v>
      </c>
      <c r="D33" s="214">
        <v>0.126022057784276</v>
      </c>
      <c r="E33" s="214">
        <v>0.12789864645050239</v>
      </c>
      <c r="F33" s="214">
        <v>0.12966377307689797</v>
      </c>
      <c r="G33" s="214">
        <v>0.12814340438087332</v>
      </c>
      <c r="H33" s="214">
        <v>0.1216680966600517</v>
      </c>
      <c r="I33" s="214">
        <v>0.11622257183486225</v>
      </c>
      <c r="J33" s="214">
        <v>0.11301464897759186</v>
      </c>
      <c r="K33" s="214">
        <v>0.11091406882913234</v>
      </c>
      <c r="L33" s="214">
        <v>0.11294766014856593</v>
      </c>
      <c r="M33" s="214">
        <v>0.11253582344255075</v>
      </c>
      <c r="N33" s="214">
        <v>0.10845515304629055</v>
      </c>
      <c r="O33" s="214">
        <v>0.10686193375191171</v>
      </c>
      <c r="P33" s="214">
        <v>0.10347550244550191</v>
      </c>
      <c r="Q33" s="214">
        <v>9.9810563525179682E-2</v>
      </c>
      <c r="R33" s="214">
        <v>0.10337450839837993</v>
      </c>
      <c r="S33" s="214">
        <v>0.10338269270184981</v>
      </c>
      <c r="T33" s="214">
        <v>0.1024258713614086</v>
      </c>
      <c r="U33" s="214">
        <v>9.5995978378442995E-2</v>
      </c>
      <c r="V33" s="214">
        <v>9.3787306360923792E-2</v>
      </c>
      <c r="W33" s="214">
        <v>9.0983291411347547E-2</v>
      </c>
      <c r="X33" s="214">
        <v>8.7441185810997094E-2</v>
      </c>
      <c r="Y33" s="214">
        <v>8.5390636770660736E-2</v>
      </c>
      <c r="Z33" s="214">
        <v>8.7964905041736138E-2</v>
      </c>
      <c r="AA33" s="214">
        <v>8.862566250045166E-2</v>
      </c>
      <c r="AB33" s="214">
        <v>8.819295504910514E-2</v>
      </c>
      <c r="AC33" s="214">
        <v>9.0955362247274171E-2</v>
      </c>
      <c r="AD33" s="214">
        <v>9.3892483039272515E-2</v>
      </c>
      <c r="AE33" s="214">
        <v>9.1165809136956336E-2</v>
      </c>
      <c r="AF33" s="214">
        <v>8.3131028634672838E-2</v>
      </c>
      <c r="AG33" s="214">
        <v>8.1400962218522041E-2</v>
      </c>
      <c r="AH33" s="214">
        <v>8.8372845919479262E-2</v>
      </c>
      <c r="AI33" s="214">
        <v>0</v>
      </c>
      <c r="AJ33" s="214">
        <v>0</v>
      </c>
      <c r="AK33" s="214">
        <v>0</v>
      </c>
      <c r="AL33" s="214">
        <v>0</v>
      </c>
    </row>
    <row r="34" spans="2:38" ht="14">
      <c r="B34" s="76" t="s">
        <v>137</v>
      </c>
      <c r="C34" s="214">
        <v>7.1582580705829152E-2</v>
      </c>
      <c r="D34" s="214">
        <v>7.9685070026319291E-2</v>
      </c>
      <c r="E34" s="214">
        <v>7.0684416130075436E-2</v>
      </c>
      <c r="F34" s="214">
        <v>7.2311537714575685E-2</v>
      </c>
      <c r="G34" s="214">
        <v>7.3463198430051585E-2</v>
      </c>
      <c r="H34" s="214">
        <v>7.1899578451240148E-2</v>
      </c>
      <c r="I34" s="214">
        <v>6.0511546695325498E-2</v>
      </c>
      <c r="J34" s="214">
        <v>5.8465493360227404E-2</v>
      </c>
      <c r="K34" s="214">
        <v>6.7947995819771692E-2</v>
      </c>
      <c r="L34" s="214">
        <v>5.8915111585437697E-2</v>
      </c>
      <c r="M34" s="214">
        <v>5.6520673537533719E-2</v>
      </c>
      <c r="N34" s="214">
        <v>5.7829245964488664E-2</v>
      </c>
      <c r="O34" s="214">
        <v>5.9705328783412531E-2</v>
      </c>
      <c r="P34" s="214">
        <v>5.4018379227160358E-2</v>
      </c>
      <c r="Q34" s="214">
        <v>5.2266697711229902E-2</v>
      </c>
      <c r="R34" s="214">
        <v>5.8141401029526703E-2</v>
      </c>
      <c r="S34" s="214">
        <v>5.8336889907369884E-2</v>
      </c>
      <c r="T34" s="214">
        <v>6.1459216453900775E-2</v>
      </c>
      <c r="U34" s="214">
        <v>5.8173808916608116E-2</v>
      </c>
      <c r="V34" s="214">
        <v>5.5232416940362614E-2</v>
      </c>
      <c r="W34" s="214">
        <v>6.5362747125186166E-2</v>
      </c>
      <c r="X34" s="214">
        <v>6.4561183587764984E-2</v>
      </c>
      <c r="Y34" s="214">
        <v>7.0094699231361912E-2</v>
      </c>
      <c r="Z34" s="214">
        <v>6.3637710927984079E-2</v>
      </c>
      <c r="AA34" s="214">
        <v>6.1663071818641786E-2</v>
      </c>
      <c r="AB34" s="214">
        <v>6.8869151182237451E-2</v>
      </c>
      <c r="AC34" s="214">
        <v>7.6057430135795134E-2</v>
      </c>
      <c r="AD34" s="214">
        <v>7.4097205714804562E-2</v>
      </c>
      <c r="AE34" s="214">
        <v>7.8109352253854625E-2</v>
      </c>
      <c r="AF34" s="214">
        <v>7.8188300438526578E-2</v>
      </c>
      <c r="AG34" s="214">
        <v>7.7513685940531304E-2</v>
      </c>
      <c r="AH34" s="214">
        <v>7.8187157338725624E-2</v>
      </c>
      <c r="AI34" s="214">
        <v>0</v>
      </c>
      <c r="AJ34" s="214">
        <v>0</v>
      </c>
      <c r="AK34" s="214">
        <v>0</v>
      </c>
      <c r="AL34" s="214">
        <v>0</v>
      </c>
    </row>
    <row r="35" spans="2:38" ht="14">
      <c r="B35" s="76" t="s">
        <v>139</v>
      </c>
      <c r="C35" s="214">
        <v>0</v>
      </c>
      <c r="D35" s="214">
        <v>0</v>
      </c>
      <c r="E35" s="214">
        <v>0</v>
      </c>
      <c r="F35" s="214">
        <v>0</v>
      </c>
      <c r="G35" s="214">
        <v>0</v>
      </c>
      <c r="H35" s="214">
        <v>0</v>
      </c>
      <c r="I35" s="214">
        <v>0</v>
      </c>
      <c r="J35" s="214">
        <v>0</v>
      </c>
      <c r="K35" s="214">
        <v>0</v>
      </c>
      <c r="L35" s="214">
        <v>0</v>
      </c>
      <c r="M35" s="214">
        <v>0</v>
      </c>
      <c r="N35" s="214">
        <v>0</v>
      </c>
      <c r="O35" s="214">
        <v>0</v>
      </c>
      <c r="P35" s="214">
        <v>0</v>
      </c>
      <c r="Q35" s="214">
        <v>0</v>
      </c>
      <c r="R35" s="214">
        <v>0</v>
      </c>
      <c r="S35" s="214">
        <v>0</v>
      </c>
      <c r="T35" s="214">
        <v>0</v>
      </c>
      <c r="U35" s="214">
        <v>0</v>
      </c>
      <c r="V35" s="214">
        <v>0</v>
      </c>
      <c r="W35" s="214">
        <v>0</v>
      </c>
      <c r="X35" s="214">
        <v>0</v>
      </c>
      <c r="Y35" s="214">
        <v>0</v>
      </c>
      <c r="Z35" s="214">
        <v>0</v>
      </c>
      <c r="AA35" s="214">
        <v>0</v>
      </c>
      <c r="AB35" s="214">
        <v>0</v>
      </c>
      <c r="AC35" s="214">
        <v>0</v>
      </c>
      <c r="AD35" s="214">
        <v>0</v>
      </c>
      <c r="AE35" s="214">
        <v>0</v>
      </c>
      <c r="AF35" s="214">
        <v>0</v>
      </c>
      <c r="AG35" s="214">
        <v>0</v>
      </c>
      <c r="AH35" s="214">
        <v>0</v>
      </c>
      <c r="AI35" s="214">
        <v>0</v>
      </c>
      <c r="AJ35" s="214">
        <v>0</v>
      </c>
      <c r="AK35" s="214">
        <v>0</v>
      </c>
      <c r="AL35" s="214">
        <v>0</v>
      </c>
    </row>
    <row r="36" spans="2:38" ht="14">
      <c r="B36" s="76" t="s">
        <v>142</v>
      </c>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row>
    <row r="37" spans="2:38" ht="14">
      <c r="B37" s="78" t="s">
        <v>148</v>
      </c>
      <c r="C37" s="302">
        <v>8.7270399350511674E-2</v>
      </c>
      <c r="D37" s="302">
        <v>8.2153223032736408E-2</v>
      </c>
      <c r="E37" s="302">
        <v>8.4901182301636097E-2</v>
      </c>
      <c r="F37" s="302">
        <v>9.0683473628047212E-2</v>
      </c>
      <c r="G37" s="302">
        <v>8.6926824507348815E-2</v>
      </c>
      <c r="H37" s="302">
        <v>8.2482903257256504E-2</v>
      </c>
      <c r="I37" s="302">
        <v>8.6397202472252688E-2</v>
      </c>
      <c r="J37" s="302">
        <v>8.1542694924738632E-2</v>
      </c>
      <c r="K37" s="302">
        <v>8.4626826310687686E-2</v>
      </c>
      <c r="L37" s="302">
        <v>8.2876110827494881E-2</v>
      </c>
      <c r="M37" s="302">
        <v>8.1215203299674008E-2</v>
      </c>
      <c r="N37" s="302">
        <v>8.4809494911717423E-2</v>
      </c>
      <c r="O37" s="302">
        <v>8.2012378155144589E-2</v>
      </c>
      <c r="P37" s="302">
        <v>7.8826456066233674E-2</v>
      </c>
      <c r="Q37" s="302">
        <v>8.6502856277116555E-2</v>
      </c>
      <c r="R37" s="302">
        <v>7.8790372909617809E-2</v>
      </c>
      <c r="S37" s="302">
        <v>8.2917722188706258E-2</v>
      </c>
      <c r="T37" s="302">
        <v>8.024161272291376E-2</v>
      </c>
      <c r="U37" s="302">
        <v>8.4397709605769033E-2</v>
      </c>
      <c r="V37" s="302">
        <v>7.9089283258558615E-2</v>
      </c>
      <c r="W37" s="302">
        <v>7.8890567674240075E-2</v>
      </c>
      <c r="X37" s="302">
        <v>8.2429476208363675E-2</v>
      </c>
      <c r="Y37" s="302">
        <v>7.4676526964379111E-2</v>
      </c>
      <c r="Z37" s="302">
        <v>8.8915695119464053E-2</v>
      </c>
      <c r="AA37" s="302">
        <v>9.4515352444312542E-2</v>
      </c>
      <c r="AB37" s="302">
        <v>8.9538443243398907E-2</v>
      </c>
      <c r="AC37" s="302">
        <v>8.6607243427670705E-2</v>
      </c>
      <c r="AD37" s="302">
        <v>9.0640800392537177E-2</v>
      </c>
      <c r="AE37" s="302">
        <v>9.8974635679933559E-2</v>
      </c>
      <c r="AF37" s="302">
        <v>8.9882669641893786E-2</v>
      </c>
      <c r="AG37" s="302">
        <v>8.674733035144816E-2</v>
      </c>
      <c r="AH37" s="302">
        <v>8.3010151096337761E-2</v>
      </c>
      <c r="AI37" s="302">
        <v>0</v>
      </c>
      <c r="AJ37" s="302">
        <v>0</v>
      </c>
      <c r="AK37" s="302">
        <v>0</v>
      </c>
      <c r="AL37" s="302">
        <v>0</v>
      </c>
    </row>
    <row r="38" spans="2:38" ht="14">
      <c r="B38" s="76" t="s">
        <v>137</v>
      </c>
      <c r="C38" s="214">
        <v>1.3262142778015158E-3</v>
      </c>
      <c r="D38" s="214">
        <v>1.3400714314875121E-3</v>
      </c>
      <c r="E38" s="214">
        <v>1.336022581616278E-3</v>
      </c>
      <c r="F38" s="214">
        <v>1.3303200919825928E-3</v>
      </c>
      <c r="G38" s="214">
        <v>1.3581050128111368E-3</v>
      </c>
      <c r="H38" s="214">
        <v>1.2996432668587381E-3</v>
      </c>
      <c r="I38" s="214">
        <v>1.3045329176323362E-3</v>
      </c>
      <c r="J38" s="214">
        <v>1.1620740022744228E-3</v>
      </c>
      <c r="K38" s="214">
        <v>1.0307190812686431E-3</v>
      </c>
      <c r="L38" s="214">
        <v>1.0100530436244867E-3</v>
      </c>
      <c r="M38" s="214">
        <v>9.7330798164328703E-4</v>
      </c>
      <c r="N38" s="214">
        <v>9.2120076401613828E-4</v>
      </c>
      <c r="O38" s="214">
        <v>1.1026583607733266E-3</v>
      </c>
      <c r="P38" s="214">
        <v>1.0913684204569658E-3</v>
      </c>
      <c r="Q38" s="214">
        <v>8.157522138207829E-4</v>
      </c>
      <c r="R38" s="214">
        <v>8.2972482822951405E-4</v>
      </c>
      <c r="S38" s="214">
        <v>8.269929736376472E-4</v>
      </c>
      <c r="T38" s="214">
        <v>8.0742267501931857E-4</v>
      </c>
      <c r="U38" s="214">
        <v>7.0004354294517246E-4</v>
      </c>
      <c r="V38" s="214">
        <v>7.2150690285320259E-4</v>
      </c>
      <c r="W38" s="214">
        <v>7.0633170514157397E-4</v>
      </c>
      <c r="X38" s="214">
        <v>6.8632149724621126E-4</v>
      </c>
      <c r="Y38" s="214">
        <v>7.9650738437775576E-4</v>
      </c>
      <c r="Z38" s="214">
        <v>7.9292617383662132E-4</v>
      </c>
      <c r="AA38" s="214">
        <v>7.802936798070989E-4</v>
      </c>
      <c r="AB38" s="214">
        <v>8.1526263541860855E-4</v>
      </c>
      <c r="AC38" s="214">
        <v>8.1053379371282344E-4</v>
      </c>
      <c r="AD38" s="214">
        <v>8.1551748455817178E-4</v>
      </c>
      <c r="AE38" s="214">
        <v>8.2266600628390753E-4</v>
      </c>
      <c r="AF38" s="214">
        <v>7.3174607521378455E-4</v>
      </c>
      <c r="AG38" s="214">
        <v>8.5710295429004E-4</v>
      </c>
      <c r="AH38" s="214">
        <v>8.2792440741619438E-4</v>
      </c>
      <c r="AI38" s="214">
        <v>0</v>
      </c>
      <c r="AJ38" s="214">
        <v>0</v>
      </c>
      <c r="AK38" s="214">
        <v>0</v>
      </c>
      <c r="AL38" s="214">
        <v>0</v>
      </c>
    </row>
    <row r="39" spans="2:38" ht="14">
      <c r="B39" s="130" t="s">
        <v>138</v>
      </c>
      <c r="C39" s="214">
        <v>8.593881715075366E-2</v>
      </c>
      <c r="D39" s="214">
        <v>8.080896788081085E-2</v>
      </c>
      <c r="E39" s="214">
        <v>8.3559800554704314E-2</v>
      </c>
      <c r="F39" s="214">
        <v>8.9348047044433249E-2</v>
      </c>
      <c r="G39" s="214">
        <v>8.5563357022373235E-2</v>
      </c>
      <c r="H39" s="214">
        <v>8.1178343859294011E-2</v>
      </c>
      <c r="I39" s="214">
        <v>8.5087943757745699E-2</v>
      </c>
      <c r="J39" s="214">
        <v>8.0375183422392318E-2</v>
      </c>
      <c r="K39" s="214">
        <v>8.3590588495280144E-2</v>
      </c>
      <c r="L39" s="214">
        <v>8.1860599684002736E-2</v>
      </c>
      <c r="M39" s="214">
        <v>8.0236371862875605E-2</v>
      </c>
      <c r="N39" s="214">
        <v>8.3882854794667783E-2</v>
      </c>
      <c r="O39" s="214">
        <v>8.0904870156093087E-2</v>
      </c>
      <c r="P39" s="214">
        <v>7.7729314906859595E-2</v>
      </c>
      <c r="Q39" s="214">
        <v>8.5683210866851822E-2</v>
      </c>
      <c r="R39" s="214">
        <v>7.7956470425468161E-2</v>
      </c>
      <c r="S39" s="214">
        <v>8.2085797185779602E-2</v>
      </c>
      <c r="T39" s="214">
        <v>7.9426219052190078E-2</v>
      </c>
      <c r="U39" s="214">
        <v>8.3691524876989179E-2</v>
      </c>
      <c r="V39" s="214">
        <v>7.8362302575059911E-2</v>
      </c>
      <c r="W39" s="214">
        <v>7.8179285061301451E-2</v>
      </c>
      <c r="X39" s="214">
        <v>8.1737790933559901E-2</v>
      </c>
      <c r="Y39" s="214">
        <v>7.3875552196263516E-2</v>
      </c>
      <c r="Z39" s="214">
        <v>8.8116734078913073E-2</v>
      </c>
      <c r="AA39" s="214">
        <v>9.3728598269650798E-2</v>
      </c>
      <c r="AB39" s="214">
        <v>8.8717244991820682E-2</v>
      </c>
      <c r="AC39" s="214">
        <v>8.579024077381886E-2</v>
      </c>
      <c r="AD39" s="214">
        <v>8.9818708230441857E-2</v>
      </c>
      <c r="AE39" s="214">
        <v>9.8144949204514248E-2</v>
      </c>
      <c r="AF39" s="214">
        <v>8.914512660322689E-2</v>
      </c>
      <c r="AG39" s="214">
        <v>8.5883701944238916E-2</v>
      </c>
      <c r="AH39" s="214">
        <v>8.2174904148076877E-2</v>
      </c>
      <c r="AI39" s="214">
        <v>0</v>
      </c>
      <c r="AJ39" s="214">
        <v>0</v>
      </c>
      <c r="AK39" s="214">
        <v>0</v>
      </c>
      <c r="AL39" s="214">
        <v>0</v>
      </c>
    </row>
    <row r="40" spans="2:38" ht="14">
      <c r="B40" s="76" t="s">
        <v>142</v>
      </c>
      <c r="C40" s="214"/>
      <c r="D40" s="214"/>
      <c r="E40" s="214"/>
      <c r="F40" s="214"/>
      <c r="G40" s="214"/>
      <c r="H40" s="214"/>
      <c r="I40" s="214"/>
      <c r="J40" s="214"/>
      <c r="K40" s="214"/>
      <c r="L40" s="214"/>
      <c r="M40" s="214"/>
      <c r="N40" s="214"/>
      <c r="O40" s="214"/>
      <c r="P40" s="214"/>
      <c r="Q40" s="214"/>
      <c r="R40" s="214"/>
      <c r="S40" s="214"/>
      <c r="T40" s="214"/>
      <c r="U40" s="214"/>
      <c r="V40" s="214"/>
      <c r="W40" s="214"/>
      <c r="X40" s="214"/>
      <c r="Y40" s="214"/>
      <c r="Z40" s="214"/>
      <c r="AA40" s="214"/>
      <c r="AB40" s="214"/>
      <c r="AC40" s="214"/>
      <c r="AD40" s="214"/>
      <c r="AE40" s="214"/>
      <c r="AF40" s="214"/>
      <c r="AG40" s="214"/>
      <c r="AH40" s="214"/>
      <c r="AI40" s="214"/>
      <c r="AJ40" s="214"/>
      <c r="AK40" s="214"/>
      <c r="AL40" s="214"/>
    </row>
    <row r="41" spans="2:38" ht="15.5">
      <c r="B41" s="79"/>
      <c r="C41" s="80"/>
      <c r="D41" s="80"/>
      <c r="E41" s="80"/>
      <c r="F41" s="80"/>
      <c r="G41" s="80"/>
      <c r="H41" s="80"/>
      <c r="I41" s="80"/>
      <c r="J41" s="80"/>
      <c r="K41" s="80"/>
      <c r="L41" s="80"/>
      <c r="M41" s="80"/>
      <c r="N41" s="80"/>
      <c r="O41" s="80"/>
      <c r="P41" s="80"/>
      <c r="Q41" s="80"/>
      <c r="R41" s="80"/>
      <c r="S41" s="80"/>
      <c r="T41" s="80"/>
      <c r="U41" s="214"/>
      <c r="V41" s="214"/>
      <c r="W41" s="214"/>
      <c r="X41" s="214"/>
      <c r="Y41" s="214"/>
      <c r="Z41" s="214"/>
      <c r="AA41" s="214"/>
      <c r="AB41" s="214"/>
      <c r="AC41" s="214"/>
      <c r="AD41" s="214"/>
      <c r="AE41" s="214"/>
      <c r="AF41" s="214"/>
      <c r="AG41" s="214"/>
      <c r="AH41" s="214"/>
      <c r="AI41" s="214"/>
      <c r="AJ41" s="214"/>
      <c r="AK41" s="214"/>
      <c r="AL41" s="214"/>
    </row>
    <row r="42" spans="2:38" ht="14.5" thickBot="1">
      <c r="B42" s="73" t="s">
        <v>149</v>
      </c>
      <c r="C42" s="77"/>
      <c r="D42" s="77"/>
      <c r="E42" s="77"/>
      <c r="F42" s="77"/>
      <c r="G42" s="77"/>
      <c r="H42" s="77"/>
      <c r="I42" s="77"/>
      <c r="J42" s="77"/>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row>
    <row r="43" spans="2:38" ht="14.5" thickBot="1">
      <c r="B43" s="75"/>
      <c r="C43" s="73">
        <v>1990</v>
      </c>
      <c r="D43" s="73">
        <v>1991</v>
      </c>
      <c r="E43" s="73">
        <v>1992</v>
      </c>
      <c r="F43" s="73">
        <v>1993</v>
      </c>
      <c r="G43" s="73">
        <v>1994</v>
      </c>
      <c r="H43" s="73">
        <v>1995</v>
      </c>
      <c r="I43" s="73">
        <v>1996</v>
      </c>
      <c r="J43" s="73">
        <v>1997</v>
      </c>
      <c r="K43" s="73">
        <v>1998</v>
      </c>
      <c r="L43" s="73">
        <v>1999</v>
      </c>
      <c r="M43" s="73">
        <v>2000</v>
      </c>
      <c r="N43" s="73">
        <v>2001</v>
      </c>
      <c r="O43" s="73">
        <v>2002</v>
      </c>
      <c r="P43" s="73">
        <v>2003</v>
      </c>
      <c r="Q43" s="73">
        <v>2004</v>
      </c>
      <c r="R43" s="73">
        <v>2005</v>
      </c>
      <c r="S43" s="73">
        <v>2006</v>
      </c>
      <c r="T43" s="73">
        <v>2007</v>
      </c>
      <c r="U43" s="73">
        <v>2008</v>
      </c>
      <c r="V43" s="73">
        <v>2009</v>
      </c>
      <c r="W43" s="73">
        <v>2010</v>
      </c>
      <c r="X43" s="73">
        <v>2011</v>
      </c>
      <c r="Y43" s="73">
        <v>2012</v>
      </c>
      <c r="Z43" s="73">
        <v>2013</v>
      </c>
      <c r="AA43" s="73">
        <v>2014</v>
      </c>
      <c r="AB43" s="73">
        <v>2015</v>
      </c>
      <c r="AC43" s="73">
        <v>2016</v>
      </c>
      <c r="AD43" s="73">
        <v>2017</v>
      </c>
      <c r="AE43" s="73">
        <v>2018</v>
      </c>
      <c r="AF43" s="73">
        <v>2019</v>
      </c>
      <c r="AG43" s="73">
        <v>2020</v>
      </c>
      <c r="AH43" s="73">
        <v>2021</v>
      </c>
      <c r="AI43" s="73">
        <v>2022</v>
      </c>
      <c r="AJ43" s="73">
        <v>2023</v>
      </c>
      <c r="AK43" s="73">
        <v>2024</v>
      </c>
      <c r="AL43" s="73">
        <v>2025</v>
      </c>
    </row>
    <row r="44" spans="2:38" ht="14">
      <c r="B44" s="78" t="s">
        <v>150</v>
      </c>
      <c r="C44" s="105">
        <v>78348.558805256791</v>
      </c>
      <c r="D44" s="105">
        <v>73505.737154168484</v>
      </c>
      <c r="E44" s="105">
        <v>76258.08357966895</v>
      </c>
      <c r="F44" s="105">
        <v>81629.687842725951</v>
      </c>
      <c r="G44" s="105">
        <v>79123.46232164299</v>
      </c>
      <c r="H44" s="105">
        <v>74065.167720619924</v>
      </c>
      <c r="I44" s="105">
        <v>77768.780774635292</v>
      </c>
      <c r="J44" s="105">
        <v>73561.226161319893</v>
      </c>
      <c r="K44" s="105">
        <v>76041.350426792691</v>
      </c>
      <c r="L44" s="105">
        <v>75010.971111433464</v>
      </c>
      <c r="M44" s="105">
        <v>74168.467724192</v>
      </c>
      <c r="N44" s="105">
        <v>77256.004689999711</v>
      </c>
      <c r="O44" s="105">
        <v>75153.545628271197</v>
      </c>
      <c r="P44" s="105">
        <v>71752.01750424382</v>
      </c>
      <c r="Q44" s="105">
        <v>78470.903471234036</v>
      </c>
      <c r="R44" s="105">
        <v>71500.98345966624</v>
      </c>
      <c r="S44" s="105">
        <v>75300.629066375492</v>
      </c>
      <c r="T44" s="105">
        <v>72082.059359410821</v>
      </c>
      <c r="U44" s="105">
        <v>75851.556460979802</v>
      </c>
      <c r="V44" s="105">
        <v>70982.960050985013</v>
      </c>
      <c r="W44" s="105">
        <v>71407.508952040429</v>
      </c>
      <c r="X44" s="105">
        <v>74334.94599637881</v>
      </c>
      <c r="Y44" s="105">
        <v>67716.848985147881</v>
      </c>
      <c r="Z44" s="105">
        <v>80404.990474475097</v>
      </c>
      <c r="AA44" s="105">
        <v>85628.130614756155</v>
      </c>
      <c r="AB44" s="105">
        <v>80113.499069443453</v>
      </c>
      <c r="AC44" s="105">
        <v>78228.821515369797</v>
      </c>
      <c r="AD44" s="105">
        <v>81886.687928786385</v>
      </c>
      <c r="AE44" s="105">
        <v>89789.323507614899</v>
      </c>
      <c r="AF44" s="105">
        <v>80923.433993913539</v>
      </c>
      <c r="AG44" s="105">
        <v>78731.001185289118</v>
      </c>
      <c r="AH44" s="105">
        <v>77341.241606511292</v>
      </c>
      <c r="AI44" s="105">
        <v>0</v>
      </c>
      <c r="AJ44" s="105">
        <v>0</v>
      </c>
      <c r="AK44" s="105">
        <v>0</v>
      </c>
      <c r="AL44" s="105">
        <v>0</v>
      </c>
    </row>
    <row r="45" spans="2:38" ht="14">
      <c r="B45" s="81" t="s">
        <v>151</v>
      </c>
      <c r="C45" s="107">
        <v>26409.263457623452</v>
      </c>
      <c r="D45" s="107">
        <v>26478.455750440466</v>
      </c>
      <c r="E45" s="107">
        <v>23301.907284529672</v>
      </c>
      <c r="F45" s="107">
        <v>26128.221845842323</v>
      </c>
      <c r="G45" s="107">
        <v>24478.146739943353</v>
      </c>
      <c r="H45" s="107">
        <v>24758.32038464112</v>
      </c>
      <c r="I45" s="107">
        <v>26481.425028272759</v>
      </c>
      <c r="J45" s="107">
        <v>23327.633410143895</v>
      </c>
      <c r="K45" s="107">
        <v>22926.443401680226</v>
      </c>
      <c r="L45" s="107">
        <v>23076.739737977394</v>
      </c>
      <c r="M45" s="107">
        <v>21027.524411444407</v>
      </c>
      <c r="N45" s="107">
        <v>20862.29060100982</v>
      </c>
      <c r="O45" s="107">
        <v>20680.470286507312</v>
      </c>
      <c r="P45" s="107">
        <v>22005.005395008724</v>
      </c>
      <c r="Q45" s="107">
        <v>22181.399888071606</v>
      </c>
      <c r="R45" s="107">
        <v>21405.196819119552</v>
      </c>
      <c r="S45" s="107">
        <v>21953.628192738528</v>
      </c>
      <c r="T45" s="107">
        <v>25125.816479041816</v>
      </c>
      <c r="U45" s="107">
        <v>24239.663674242027</v>
      </c>
      <c r="V45" s="107">
        <v>21799.276387592712</v>
      </c>
      <c r="W45" s="107">
        <v>20223.605131494525</v>
      </c>
      <c r="X45" s="40">
        <v>25321.655095596732</v>
      </c>
      <c r="Y45" s="40">
        <v>25354.3347076998</v>
      </c>
      <c r="Z45" s="40">
        <v>25003.46679418334</v>
      </c>
      <c r="AA45" s="40">
        <v>24902.998193263978</v>
      </c>
      <c r="AB45" s="40">
        <v>23126.672599080648</v>
      </c>
      <c r="AC45" s="40">
        <v>20679.386282364692</v>
      </c>
      <c r="AD45" s="40">
        <v>21309.625062725583</v>
      </c>
      <c r="AE45" s="40">
        <v>22109.908847820199</v>
      </c>
      <c r="AF45" s="40">
        <v>23333.669583484301</v>
      </c>
      <c r="AG45" s="40">
        <v>20546.60701325093</v>
      </c>
      <c r="AH45" s="40">
        <v>13333.918584142546</v>
      </c>
      <c r="AI45" s="40">
        <v>0</v>
      </c>
      <c r="AJ45" s="40">
        <v>0</v>
      </c>
      <c r="AK45" s="40">
        <v>0</v>
      </c>
      <c r="AL45" s="40">
        <v>0</v>
      </c>
    </row>
    <row r="46" spans="2:38" ht="14">
      <c r="B46" s="81" t="s">
        <v>152</v>
      </c>
      <c r="C46" s="107">
        <v>18930.985522632305</v>
      </c>
      <c r="D46" s="107">
        <v>16669.536554412491</v>
      </c>
      <c r="E46" s="107">
        <v>19759.298396312111</v>
      </c>
      <c r="F46" s="107">
        <v>19945.770626655347</v>
      </c>
      <c r="G46" s="107">
        <v>20638.8985938195</v>
      </c>
      <c r="H46" s="107">
        <v>17467.43006436621</v>
      </c>
      <c r="I46" s="107">
        <v>18939.619857375554</v>
      </c>
      <c r="J46" s="107">
        <v>18250.328588566321</v>
      </c>
      <c r="K46" s="107">
        <v>19139.963517284381</v>
      </c>
      <c r="L46" s="107">
        <v>19091.952532525549</v>
      </c>
      <c r="M46" s="107">
        <v>19827.657685789261</v>
      </c>
      <c r="N46" s="107">
        <v>20854.030071548794</v>
      </c>
      <c r="O46" s="107">
        <v>19878.76084425137</v>
      </c>
      <c r="P46" s="107">
        <v>19451.396725926406</v>
      </c>
      <c r="Q46" s="107">
        <v>21689.909874785033</v>
      </c>
      <c r="R46" s="107">
        <v>18903.776706051009</v>
      </c>
      <c r="S46" s="107">
        <v>20097.798114215941</v>
      </c>
      <c r="T46" s="107">
        <v>19507.699721153476</v>
      </c>
      <c r="U46" s="107">
        <v>20610.998026396217</v>
      </c>
      <c r="V46" s="107">
        <v>19301.941127670088</v>
      </c>
      <c r="W46" s="107">
        <v>19549.690490577203</v>
      </c>
      <c r="X46" s="107">
        <v>19266.345322870387</v>
      </c>
      <c r="Y46" s="107">
        <v>15585.608577174318</v>
      </c>
      <c r="Z46" s="107">
        <v>21602.275827557169</v>
      </c>
      <c r="AA46" s="107">
        <v>23658.238868863027</v>
      </c>
      <c r="AB46" s="107">
        <v>21529.133145938471</v>
      </c>
      <c r="AC46" s="107">
        <v>21844.495290844879</v>
      </c>
      <c r="AD46" s="107">
        <v>22838.566605941101</v>
      </c>
      <c r="AE46" s="107">
        <v>25402.200752100991</v>
      </c>
      <c r="AF46" s="107">
        <v>21548.002149672371</v>
      </c>
      <c r="AG46" s="107">
        <v>21848.190583733154</v>
      </c>
      <c r="AH46" s="107">
        <v>23790.72904616598</v>
      </c>
      <c r="AI46" s="107">
        <v>0</v>
      </c>
      <c r="AJ46" s="107">
        <v>0</v>
      </c>
      <c r="AK46" s="107">
        <v>0</v>
      </c>
      <c r="AL46" s="107">
        <v>0</v>
      </c>
    </row>
    <row r="47" spans="2:38" ht="14">
      <c r="B47" s="81" t="s">
        <v>153</v>
      </c>
      <c r="C47" s="107">
        <v>29274.013862860636</v>
      </c>
      <c r="D47" s="107">
        <v>26664.948310686006</v>
      </c>
      <c r="E47" s="107">
        <v>29566.946728609364</v>
      </c>
      <c r="F47" s="107">
        <v>31887.893610085535</v>
      </c>
      <c r="G47" s="107">
        <v>30530.630306789491</v>
      </c>
      <c r="H47" s="107">
        <v>28546.622080406072</v>
      </c>
      <c r="I47" s="107">
        <v>29174.81576141551</v>
      </c>
      <c r="J47" s="107">
        <v>28876.584054815659</v>
      </c>
      <c r="K47" s="107">
        <v>30851.030818044001</v>
      </c>
      <c r="L47" s="107">
        <v>29913.555253979732</v>
      </c>
      <c r="M47" s="107">
        <v>30428.115656495655</v>
      </c>
      <c r="N47" s="107">
        <v>32606.390707916635</v>
      </c>
      <c r="O47" s="107">
        <v>31572.777513323814</v>
      </c>
      <c r="P47" s="107">
        <v>27388.266225384676</v>
      </c>
      <c r="Q47" s="107">
        <v>31647.135135545454</v>
      </c>
      <c r="R47" s="107">
        <v>28298.991388657665</v>
      </c>
      <c r="S47" s="107">
        <v>30339.64615943496</v>
      </c>
      <c r="T47" s="107">
        <v>24498.645734307585</v>
      </c>
      <c r="U47" s="107">
        <v>28140.904550740441</v>
      </c>
      <c r="V47" s="107">
        <v>26966.744277998569</v>
      </c>
      <c r="W47" s="107">
        <v>28729.776322555063</v>
      </c>
      <c r="X47" s="107">
        <v>27070.102278341474</v>
      </c>
      <c r="Y47" s="107">
        <v>24152.020116859505</v>
      </c>
      <c r="Z47" s="107">
        <v>30777.153811367272</v>
      </c>
      <c r="AA47" s="107">
        <v>33991.260031250429</v>
      </c>
      <c r="AB47" s="107">
        <v>32328.422099553518</v>
      </c>
      <c r="AC47" s="107">
        <v>32571.098142041115</v>
      </c>
      <c r="AD47" s="107">
        <v>34646.561799534233</v>
      </c>
      <c r="AE47" s="107">
        <v>39047.020047077276</v>
      </c>
      <c r="AF47" s="107">
        <v>32933.653473633989</v>
      </c>
      <c r="AG47" s="107">
        <v>33524.568126347716</v>
      </c>
      <c r="AH47" s="107">
        <v>37255.951177372241</v>
      </c>
      <c r="AI47" s="107">
        <v>0</v>
      </c>
      <c r="AJ47" s="107">
        <v>0</v>
      </c>
      <c r="AK47" s="107">
        <v>0</v>
      </c>
      <c r="AL47" s="107">
        <v>0</v>
      </c>
    </row>
    <row r="48" spans="2:38" ht="14">
      <c r="B48" s="81" t="s">
        <v>154</v>
      </c>
      <c r="C48" s="107">
        <v>0</v>
      </c>
      <c r="D48" s="107">
        <v>0</v>
      </c>
      <c r="E48" s="107">
        <v>0</v>
      </c>
      <c r="F48" s="107">
        <v>0</v>
      </c>
      <c r="G48" s="107">
        <v>0</v>
      </c>
      <c r="H48" s="107">
        <v>0</v>
      </c>
      <c r="I48" s="107">
        <v>0</v>
      </c>
      <c r="J48" s="107">
        <v>0</v>
      </c>
      <c r="K48" s="107">
        <v>0</v>
      </c>
      <c r="L48" s="107">
        <v>0</v>
      </c>
      <c r="M48" s="107">
        <v>0</v>
      </c>
      <c r="N48" s="107">
        <v>0</v>
      </c>
      <c r="O48" s="107">
        <v>0</v>
      </c>
      <c r="P48" s="107">
        <v>0</v>
      </c>
      <c r="Q48" s="107">
        <v>0</v>
      </c>
      <c r="R48" s="107">
        <v>0</v>
      </c>
      <c r="S48" s="107">
        <v>0</v>
      </c>
      <c r="T48" s="107">
        <v>0</v>
      </c>
      <c r="U48" s="107">
        <v>0</v>
      </c>
      <c r="V48" s="107">
        <v>0</v>
      </c>
      <c r="W48" s="107">
        <v>0</v>
      </c>
      <c r="X48" s="107">
        <v>0</v>
      </c>
      <c r="Y48" s="107">
        <v>0</v>
      </c>
      <c r="Z48" s="107">
        <v>0</v>
      </c>
      <c r="AA48" s="107">
        <v>0</v>
      </c>
      <c r="AB48" s="107">
        <v>0</v>
      </c>
      <c r="AC48" s="107">
        <v>0</v>
      </c>
      <c r="AD48" s="107">
        <v>0</v>
      </c>
      <c r="AE48" s="107">
        <v>0</v>
      </c>
      <c r="AF48" s="107">
        <v>0</v>
      </c>
      <c r="AG48" s="107">
        <v>0</v>
      </c>
      <c r="AH48" s="107">
        <v>0</v>
      </c>
      <c r="AI48" s="107">
        <v>0</v>
      </c>
      <c r="AJ48" s="107">
        <v>0</v>
      </c>
      <c r="AK48" s="107">
        <v>0</v>
      </c>
      <c r="AL48" s="107">
        <v>0</v>
      </c>
    </row>
    <row r="49" spans="2:38" ht="14">
      <c r="B49" s="81" t="s">
        <v>155</v>
      </c>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c r="AA49" s="107"/>
      <c r="AB49" s="107"/>
      <c r="AC49" s="107"/>
      <c r="AD49" s="107"/>
      <c r="AE49" s="107"/>
      <c r="AF49" s="107"/>
      <c r="AG49" s="107"/>
      <c r="AH49" s="107"/>
      <c r="AI49" s="107"/>
      <c r="AJ49" s="107"/>
      <c r="AK49" s="107"/>
      <c r="AL49" s="107"/>
    </row>
    <row r="50" spans="2:38" ht="14">
      <c r="B50" s="78" t="s">
        <v>156</v>
      </c>
      <c r="C50" s="105">
        <v>7590.2583454968626</v>
      </c>
      <c r="D50" s="105">
        <v>7303.2307266423577</v>
      </c>
      <c r="E50" s="105">
        <v>7301.7169750353687</v>
      </c>
      <c r="F50" s="105">
        <v>7718.3592017072942</v>
      </c>
      <c r="G50" s="105">
        <v>6439.8947007302522</v>
      </c>
      <c r="H50" s="105">
        <v>7113.1761386740782</v>
      </c>
      <c r="I50" s="105">
        <v>7319.162983110411</v>
      </c>
      <c r="J50" s="105">
        <v>6813.9572610724299</v>
      </c>
      <c r="K50" s="105">
        <v>7549.2380684874561</v>
      </c>
      <c r="L50" s="105">
        <v>6849.6285725692751</v>
      </c>
      <c r="M50" s="105">
        <v>6067.9041386836034</v>
      </c>
      <c r="N50" s="105">
        <v>6626.8501046680776</v>
      </c>
      <c r="O50" s="105">
        <v>5751.3245278219019</v>
      </c>
      <c r="P50" s="105">
        <v>5977.2974026157726</v>
      </c>
      <c r="Q50" s="105">
        <v>7212.3073956177795</v>
      </c>
      <c r="R50" s="105">
        <v>6455.4869658019188</v>
      </c>
      <c r="S50" s="105">
        <v>6785.1681194041121</v>
      </c>
      <c r="T50" s="105">
        <v>7344.1596927792616</v>
      </c>
      <c r="U50" s="105">
        <v>7839.968416009373</v>
      </c>
      <c r="V50" s="105">
        <v>7379.3425240748838</v>
      </c>
      <c r="W50" s="105">
        <v>6771.7761092610126</v>
      </c>
      <c r="X50" s="105">
        <v>7402.8449371810793</v>
      </c>
      <c r="Y50" s="105">
        <v>6158.7032111156268</v>
      </c>
      <c r="Z50" s="105">
        <v>7711.7436044379774</v>
      </c>
      <c r="AA50" s="105">
        <v>8100.46765489465</v>
      </c>
      <c r="AB50" s="105">
        <v>8603.7459223772239</v>
      </c>
      <c r="AC50" s="105">
        <v>7561.4192584490593</v>
      </c>
      <c r="AD50" s="105">
        <v>7932.0203016554751</v>
      </c>
      <c r="AE50" s="105">
        <v>8355.6256968993512</v>
      </c>
      <c r="AF50" s="105">
        <v>8221.6926093133534</v>
      </c>
      <c r="AG50" s="105">
        <v>7152.7007589498007</v>
      </c>
      <c r="AH50" s="105">
        <v>4833.6625415655908</v>
      </c>
      <c r="AI50" s="105">
        <v>0</v>
      </c>
      <c r="AJ50" s="105">
        <v>0</v>
      </c>
      <c r="AK50" s="105">
        <v>0</v>
      </c>
      <c r="AL50" s="105">
        <v>0</v>
      </c>
    </row>
    <row r="51" spans="2:38" ht="14">
      <c r="B51" s="81" t="s">
        <v>151</v>
      </c>
      <c r="C51" s="107">
        <v>2325.5603986729184</v>
      </c>
      <c r="D51" s="107">
        <v>2232.4684422716728</v>
      </c>
      <c r="E51" s="107">
        <v>2228.3837368794334</v>
      </c>
      <c r="F51" s="107">
        <v>2362.3730163115411</v>
      </c>
      <c r="G51" s="107">
        <v>1956.1298546191535</v>
      </c>
      <c r="H51" s="107">
        <v>2182.6043234236372</v>
      </c>
      <c r="I51" s="107">
        <v>2264.8351308375536</v>
      </c>
      <c r="J51" s="107">
        <v>2100.0869390132329</v>
      </c>
      <c r="K51" s="107">
        <v>2333.5222113983964</v>
      </c>
      <c r="L51" s="107">
        <v>2122.3448540445838</v>
      </c>
      <c r="M51" s="107">
        <v>1876.9917480201295</v>
      </c>
      <c r="N51" s="107">
        <v>2046.7099596568635</v>
      </c>
      <c r="O51" s="107">
        <v>1755.8916553810122</v>
      </c>
      <c r="P51" s="107">
        <v>1839.6834571139054</v>
      </c>
      <c r="Q51" s="107">
        <v>2240.1887598341923</v>
      </c>
      <c r="R51" s="107">
        <v>1998.9015763256177</v>
      </c>
      <c r="S51" s="107">
        <v>2107.8848250100709</v>
      </c>
      <c r="T51" s="107">
        <v>2285.6918401863018</v>
      </c>
      <c r="U51" s="107">
        <v>2453.6064628333334</v>
      </c>
      <c r="V51" s="107">
        <v>2302.030126547128</v>
      </c>
      <c r="W51" s="107">
        <v>2104.1575637731135</v>
      </c>
      <c r="X51" s="40">
        <v>2319.4647244896219</v>
      </c>
      <c r="Y51" s="40">
        <v>1912.6336799037961</v>
      </c>
      <c r="Z51" s="40">
        <v>2407.7737109127665</v>
      </c>
      <c r="AA51" s="40">
        <v>2545.139279561959</v>
      </c>
      <c r="AB51" s="40">
        <v>2693.9046962254424</v>
      </c>
      <c r="AC51" s="40">
        <v>2356.3294198118006</v>
      </c>
      <c r="AD51" s="40">
        <v>2478.1444837403083</v>
      </c>
      <c r="AE51" s="40">
        <v>2606.4212848915645</v>
      </c>
      <c r="AF51" s="40">
        <v>2568.1295063735361</v>
      </c>
      <c r="AG51" s="40">
        <v>2230.6945315995163</v>
      </c>
      <c r="AH51" s="40">
        <v>1486.3681326302271</v>
      </c>
      <c r="AI51" s="40">
        <v>0</v>
      </c>
      <c r="AJ51" s="40">
        <v>0</v>
      </c>
      <c r="AK51" s="40">
        <v>0</v>
      </c>
      <c r="AL51" s="40">
        <v>0</v>
      </c>
    </row>
    <row r="52" spans="2:38" ht="14">
      <c r="B52" s="81" t="s">
        <v>155</v>
      </c>
      <c r="C52" s="107">
        <v>261.48447606122164</v>
      </c>
      <c r="D52" s="40">
        <v>258.98033038692046</v>
      </c>
      <c r="E52" s="40">
        <v>264.10917055182347</v>
      </c>
      <c r="F52" s="40">
        <v>269.42431416254902</v>
      </c>
      <c r="G52" s="40">
        <v>246.04736401505087</v>
      </c>
      <c r="H52" s="40">
        <v>240.54083457231994</v>
      </c>
      <c r="I52" s="40">
        <v>220.42540028767098</v>
      </c>
      <c r="J52" s="40">
        <v>217.18469063680851</v>
      </c>
      <c r="K52" s="40">
        <v>230.92688827878723</v>
      </c>
      <c r="L52" s="40">
        <v>202.31196932934233</v>
      </c>
      <c r="M52" s="40">
        <v>183.72508240814835</v>
      </c>
      <c r="N52" s="40">
        <v>205.17700955353041</v>
      </c>
      <c r="O52" s="40">
        <v>207.0727964782173</v>
      </c>
      <c r="P52" s="40">
        <v>194.12875353875742</v>
      </c>
      <c r="Q52" s="40">
        <v>205.2105956893908</v>
      </c>
      <c r="R52" s="40">
        <v>192.55663436121156</v>
      </c>
      <c r="S52" s="40">
        <v>192.55792686653385</v>
      </c>
      <c r="T52" s="40">
        <v>202.52968673788175</v>
      </c>
      <c r="U52" s="40">
        <v>196.82180572028622</v>
      </c>
      <c r="V52" s="40">
        <v>195.83887882736369</v>
      </c>
      <c r="W52" s="40">
        <v>191.53518355695772</v>
      </c>
      <c r="X52" s="40">
        <v>182.02226120162553</v>
      </c>
      <c r="Y52" s="40">
        <v>175.69218675404616</v>
      </c>
      <c r="Z52" s="40">
        <v>201.80479703386965</v>
      </c>
      <c r="AA52" s="40">
        <v>189.17855955642531</v>
      </c>
      <c r="AB52" s="40">
        <v>214.25153782367715</v>
      </c>
      <c r="AC52" s="40">
        <v>204.25780745607329</v>
      </c>
      <c r="AD52" s="40">
        <v>205.26374614940713</v>
      </c>
      <c r="AE52" s="40">
        <v>222.01511394986497</v>
      </c>
      <c r="AF52" s="40">
        <v>213.49323611779468</v>
      </c>
      <c r="AG52" s="40">
        <v>190.75147392390906</v>
      </c>
      <c r="AH52" s="40">
        <v>195.44516997874058</v>
      </c>
      <c r="AI52" s="40">
        <v>0</v>
      </c>
      <c r="AJ52" s="40">
        <v>0</v>
      </c>
      <c r="AK52" s="40">
        <v>0</v>
      </c>
      <c r="AL52" s="40">
        <v>0</v>
      </c>
    </row>
    <row r="53" spans="2:38" ht="14">
      <c r="B53" s="81" t="s">
        <v>157</v>
      </c>
      <c r="C53" s="107">
        <v>5003.213470762722</v>
      </c>
      <c r="D53" s="107">
        <v>4811.7819539837647</v>
      </c>
      <c r="E53" s="107">
        <v>4809.224067604112</v>
      </c>
      <c r="F53" s="107">
        <v>5086.5618712332043</v>
      </c>
      <c r="G53" s="107">
        <v>4237.7174820960481</v>
      </c>
      <c r="H53" s="107">
        <v>4690.0309806781215</v>
      </c>
      <c r="I53" s="107">
        <v>4833.9024519851864</v>
      </c>
      <c r="J53" s="107">
        <v>4496.6856314223887</v>
      </c>
      <c r="K53" s="107">
        <v>4984.7889688102723</v>
      </c>
      <c r="L53" s="107">
        <v>4524.9717491953488</v>
      </c>
      <c r="M53" s="107">
        <v>4007.1873082553257</v>
      </c>
      <c r="N53" s="107">
        <v>4374.9631354576832</v>
      </c>
      <c r="O53" s="107">
        <v>3788.3600759626725</v>
      </c>
      <c r="P53" s="107">
        <v>3943.4851919631101</v>
      </c>
      <c r="Q53" s="107">
        <v>4766.9080400941966</v>
      </c>
      <c r="R53" s="107">
        <v>4264.0287551150896</v>
      </c>
      <c r="S53" s="107">
        <v>4484.7253675275078</v>
      </c>
      <c r="T53" s="107">
        <v>4855.9381658550783</v>
      </c>
      <c r="U53" s="107">
        <v>5189.540147455753</v>
      </c>
      <c r="V53" s="107">
        <v>4881.4735187003917</v>
      </c>
      <c r="W53" s="107">
        <v>4476.0833619309415</v>
      </c>
      <c r="X53" s="107">
        <v>4901.357951489832</v>
      </c>
      <c r="Y53" s="107">
        <v>4070.3773444577846</v>
      </c>
      <c r="Z53" s="107">
        <v>5102.1650964913406</v>
      </c>
      <c r="AA53" s="107">
        <v>5366.1498157762662</v>
      </c>
      <c r="AB53" s="107">
        <v>5695.5896883281048</v>
      </c>
      <c r="AC53" s="107">
        <v>5000.8320311811849</v>
      </c>
      <c r="AD53" s="107">
        <v>5248.6120717657595</v>
      </c>
      <c r="AE53" s="107">
        <v>5527.1892980579214</v>
      </c>
      <c r="AF53" s="107">
        <v>5440.069866822023</v>
      </c>
      <c r="AG53" s="107">
        <v>4731.2547534263758</v>
      </c>
      <c r="AH53" s="107">
        <v>3151.8492389566227</v>
      </c>
      <c r="AI53" s="107">
        <v>0</v>
      </c>
      <c r="AJ53" s="107">
        <v>0</v>
      </c>
      <c r="AK53" s="107">
        <v>0</v>
      </c>
      <c r="AL53" s="107">
        <v>0</v>
      </c>
    </row>
    <row r="54" spans="2:38" ht="14">
      <c r="B54" s="188" t="s">
        <v>158</v>
      </c>
      <c r="C54" s="216">
        <v>4709.0434351938475</v>
      </c>
      <c r="D54" s="216">
        <v>4520.4290822984794</v>
      </c>
      <c r="E54" s="216">
        <v>4512.1012507333107</v>
      </c>
      <c r="F54" s="216">
        <v>4783.4595178003365</v>
      </c>
      <c r="G54" s="216">
        <v>3960.9141975791158</v>
      </c>
      <c r="H54" s="216">
        <v>4419.4225417842617</v>
      </c>
      <c r="I54" s="216">
        <v>4585.9238766615563</v>
      </c>
      <c r="J54" s="216">
        <v>4252.3528544559795</v>
      </c>
      <c r="K54" s="216">
        <v>4724.9962194966365</v>
      </c>
      <c r="L54" s="216">
        <v>4297.3707836998383</v>
      </c>
      <c r="M54" s="216">
        <v>3800.496590546159</v>
      </c>
      <c r="N54" s="216">
        <v>4144.1389997099614</v>
      </c>
      <c r="O54" s="216">
        <v>3555.4031799246782</v>
      </c>
      <c r="P54" s="216">
        <v>3725.0903442320082</v>
      </c>
      <c r="Q54" s="216">
        <v>4536.0461199436322</v>
      </c>
      <c r="R54" s="216">
        <v>4047.4025414587263</v>
      </c>
      <c r="S54" s="216">
        <v>4268.0976998026572</v>
      </c>
      <c r="T54" s="216">
        <v>4628.0922682749615</v>
      </c>
      <c r="U54" s="216">
        <v>4968.1156160204309</v>
      </c>
      <c r="V54" s="216">
        <v>4661.1547800196076</v>
      </c>
      <c r="W54" s="216">
        <v>4260.6062804293642</v>
      </c>
      <c r="X54" s="216">
        <v>4696.5829076380032</v>
      </c>
      <c r="Y54" s="216">
        <v>3872.7236343594827</v>
      </c>
      <c r="Z54" s="216">
        <v>4875.134699828237</v>
      </c>
      <c r="AA54" s="216">
        <v>5153.3239362752875</v>
      </c>
      <c r="AB54" s="216">
        <v>5454.5567082764683</v>
      </c>
      <c r="AC54" s="216">
        <v>4771.0419977931024</v>
      </c>
      <c r="AD54" s="216">
        <v>5017.6903573476766</v>
      </c>
      <c r="AE54" s="216">
        <v>5277.4222948643237</v>
      </c>
      <c r="AF54" s="216">
        <v>5199.8899761895036</v>
      </c>
      <c r="AG54" s="216">
        <v>4516.6593452619782</v>
      </c>
      <c r="AH54" s="216">
        <v>2935.8285744202858</v>
      </c>
      <c r="AI54" s="216">
        <v>0</v>
      </c>
      <c r="AJ54" s="216">
        <v>0</v>
      </c>
      <c r="AK54" s="216">
        <v>0</v>
      </c>
      <c r="AL54" s="216">
        <v>0</v>
      </c>
    </row>
    <row r="55" spans="2:38" ht="14">
      <c r="B55" s="189" t="s">
        <v>159</v>
      </c>
      <c r="C55" s="217"/>
      <c r="D55" s="217"/>
      <c r="E55" s="217"/>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row>
    <row r="56" spans="2:38" ht="14.5" thickBot="1">
      <c r="B56" s="73" t="s">
        <v>30</v>
      </c>
      <c r="C56" s="218">
        <f t="shared" ref="C56:L56" si="32">SUM(C44,C50)</f>
        <v>85938.817150753661</v>
      </c>
      <c r="D56" s="218">
        <f t="shared" si="32"/>
        <v>80808.967880810844</v>
      </c>
      <c r="E56" s="218">
        <f t="shared" si="32"/>
        <v>83559.800554704314</v>
      </c>
      <c r="F56" s="218">
        <f t="shared" si="32"/>
        <v>89348.047044433246</v>
      </c>
      <c r="G56" s="218">
        <f t="shared" si="32"/>
        <v>85563.357022373239</v>
      </c>
      <c r="H56" s="218">
        <f t="shared" si="32"/>
        <v>81178.343859294007</v>
      </c>
      <c r="I56" s="218">
        <f t="shared" si="32"/>
        <v>85087.943757745699</v>
      </c>
      <c r="J56" s="218">
        <f t="shared" si="32"/>
        <v>80375.183422392322</v>
      </c>
      <c r="K56" s="218">
        <f t="shared" si="32"/>
        <v>83590.588495280143</v>
      </c>
      <c r="L56" s="218">
        <f t="shared" si="32"/>
        <v>81860.599684002736</v>
      </c>
      <c r="M56" s="218">
        <f t="shared" ref="M56:R56" si="33">SUM(M44,M50)</f>
        <v>80236.371862875603</v>
      </c>
      <c r="N56" s="218">
        <f t="shared" si="33"/>
        <v>83882.854794667786</v>
      </c>
      <c r="O56" s="218">
        <f t="shared" si="33"/>
        <v>80904.870156093093</v>
      </c>
      <c r="P56" s="218">
        <f t="shared" si="33"/>
        <v>77729.314906859596</v>
      </c>
      <c r="Q56" s="218">
        <f t="shared" si="33"/>
        <v>85683.210866851819</v>
      </c>
      <c r="R56" s="218">
        <f t="shared" si="33"/>
        <v>77956.470425468156</v>
      </c>
      <c r="S56" s="218">
        <f t="shared" ref="S56:AG56" si="34">SUM(S44,S50)</f>
        <v>82085.797185779607</v>
      </c>
      <c r="T56" s="218">
        <f t="shared" si="34"/>
        <v>79426.219052190077</v>
      </c>
      <c r="U56" s="218">
        <f t="shared" si="34"/>
        <v>83691.524876989177</v>
      </c>
      <c r="V56" s="218">
        <f t="shared" si="34"/>
        <v>78362.302575059904</v>
      </c>
      <c r="W56" s="218">
        <f t="shared" si="34"/>
        <v>78179.285061301445</v>
      </c>
      <c r="X56" s="218">
        <f t="shared" si="34"/>
        <v>81737.790933559896</v>
      </c>
      <c r="Y56" s="218">
        <f t="shared" si="34"/>
        <v>73875.55219626351</v>
      </c>
      <c r="Z56" s="218">
        <f t="shared" si="34"/>
        <v>88116.734078913069</v>
      </c>
      <c r="AA56" s="218">
        <f t="shared" si="34"/>
        <v>93728.5982696508</v>
      </c>
      <c r="AB56" s="218">
        <f t="shared" si="34"/>
        <v>88717.244991820684</v>
      </c>
      <c r="AC56" s="218">
        <f t="shared" si="34"/>
        <v>85790.240773818863</v>
      </c>
      <c r="AD56" s="218">
        <f t="shared" si="34"/>
        <v>89818.708230441858</v>
      </c>
      <c r="AE56" s="218">
        <f t="shared" si="34"/>
        <v>98144.949204514254</v>
      </c>
      <c r="AF56" s="218">
        <f t="shared" si="34"/>
        <v>89145.12660322689</v>
      </c>
      <c r="AG56" s="218">
        <f t="shared" si="34"/>
        <v>85883.701944238914</v>
      </c>
      <c r="AH56" s="218">
        <f t="shared" ref="AH56:AL56" si="35">SUM(AH44,AH50)</f>
        <v>82174.904148076879</v>
      </c>
      <c r="AI56" s="218">
        <f t="shared" si="35"/>
        <v>0</v>
      </c>
      <c r="AJ56" s="218">
        <f t="shared" si="35"/>
        <v>0</v>
      </c>
      <c r="AK56" s="218">
        <f t="shared" si="35"/>
        <v>0</v>
      </c>
      <c r="AL56" s="218">
        <f t="shared" si="35"/>
        <v>0</v>
      </c>
    </row>
    <row r="57" spans="2:38" s="280" customFormat="1" ht="15.5">
      <c r="B57" s="401" t="s">
        <v>150</v>
      </c>
      <c r="C57" s="402">
        <v>1</v>
      </c>
      <c r="D57" s="283">
        <f>IF(D5&lt;=$B59,C57+1,0)</f>
        <v>2</v>
      </c>
      <c r="E57" s="283">
        <f t="shared" ref="E57:AL57" si="36">IF(E5&lt;=$B59,D57+1,0)</f>
        <v>3</v>
      </c>
      <c r="F57" s="283">
        <f t="shared" si="36"/>
        <v>4</v>
      </c>
      <c r="G57" s="283">
        <f t="shared" si="36"/>
        <v>5</v>
      </c>
      <c r="H57" s="283">
        <f t="shared" si="36"/>
        <v>6</v>
      </c>
      <c r="I57" s="283">
        <f t="shared" si="36"/>
        <v>7</v>
      </c>
      <c r="J57" s="283">
        <f t="shared" si="36"/>
        <v>8</v>
      </c>
      <c r="K57" s="283">
        <f t="shared" si="36"/>
        <v>9</v>
      </c>
      <c r="L57" s="283">
        <f t="shared" si="36"/>
        <v>10</v>
      </c>
      <c r="M57" s="283">
        <f t="shared" si="36"/>
        <v>11</v>
      </c>
      <c r="N57" s="283">
        <f t="shared" si="36"/>
        <v>12</v>
      </c>
      <c r="O57" s="283">
        <f t="shared" si="36"/>
        <v>13</v>
      </c>
      <c r="P57" s="283">
        <f t="shared" si="36"/>
        <v>14</v>
      </c>
      <c r="Q57" s="283">
        <f t="shared" si="36"/>
        <v>15</v>
      </c>
      <c r="R57" s="283">
        <f t="shared" si="36"/>
        <v>16</v>
      </c>
      <c r="S57" s="283">
        <f t="shared" si="36"/>
        <v>17</v>
      </c>
      <c r="T57" s="283">
        <f t="shared" si="36"/>
        <v>18</v>
      </c>
      <c r="U57" s="283">
        <f t="shared" si="36"/>
        <v>19</v>
      </c>
      <c r="V57" s="283">
        <f t="shared" si="36"/>
        <v>20</v>
      </c>
      <c r="W57" s="283">
        <f t="shared" si="36"/>
        <v>21</v>
      </c>
      <c r="X57" s="283">
        <f t="shared" si="36"/>
        <v>22</v>
      </c>
      <c r="Y57" s="283">
        <f t="shared" si="36"/>
        <v>23</v>
      </c>
      <c r="Z57" s="283">
        <f t="shared" si="36"/>
        <v>24</v>
      </c>
      <c r="AA57" s="283">
        <f t="shared" si="36"/>
        <v>25</v>
      </c>
      <c r="AB57" s="283">
        <f t="shared" si="36"/>
        <v>26</v>
      </c>
      <c r="AC57" s="283">
        <f t="shared" si="36"/>
        <v>27</v>
      </c>
      <c r="AD57" s="283">
        <f t="shared" si="36"/>
        <v>28</v>
      </c>
      <c r="AE57" s="283">
        <f t="shared" si="36"/>
        <v>29</v>
      </c>
      <c r="AF57" s="283">
        <f t="shared" si="36"/>
        <v>30</v>
      </c>
      <c r="AG57" s="283">
        <f t="shared" si="36"/>
        <v>31</v>
      </c>
      <c r="AH57" s="283">
        <f t="shared" si="36"/>
        <v>32</v>
      </c>
      <c r="AI57" s="283">
        <f t="shared" si="36"/>
        <v>0</v>
      </c>
      <c r="AJ57" s="283">
        <f t="shared" si="36"/>
        <v>0</v>
      </c>
      <c r="AK57" s="283">
        <f t="shared" si="36"/>
        <v>0</v>
      </c>
      <c r="AL57" s="283">
        <f t="shared" si="36"/>
        <v>0</v>
      </c>
    </row>
    <row r="58" spans="2:38" s="280" customFormat="1" ht="15.5">
      <c r="B58" s="401" t="s">
        <v>156</v>
      </c>
      <c r="C58" s="402">
        <v>1</v>
      </c>
      <c r="D58" s="283">
        <f>IF(D5&lt;=$B60,C58+1,0)</f>
        <v>2</v>
      </c>
      <c r="E58" s="283">
        <f t="shared" ref="E58:AL58" si="37">IF(E5&lt;=$B60,D58+1,0)</f>
        <v>3</v>
      </c>
      <c r="F58" s="283">
        <f t="shared" si="37"/>
        <v>4</v>
      </c>
      <c r="G58" s="283">
        <f t="shared" si="37"/>
        <v>5</v>
      </c>
      <c r="H58" s="283">
        <f t="shared" si="37"/>
        <v>6</v>
      </c>
      <c r="I58" s="283">
        <f t="shared" si="37"/>
        <v>7</v>
      </c>
      <c r="J58" s="283">
        <f t="shared" si="37"/>
        <v>8</v>
      </c>
      <c r="K58" s="283">
        <f t="shared" si="37"/>
        <v>9</v>
      </c>
      <c r="L58" s="283">
        <f t="shared" si="37"/>
        <v>10</v>
      </c>
      <c r="M58" s="283">
        <f t="shared" si="37"/>
        <v>11</v>
      </c>
      <c r="N58" s="283">
        <f t="shared" si="37"/>
        <v>12</v>
      </c>
      <c r="O58" s="283">
        <f t="shared" si="37"/>
        <v>13</v>
      </c>
      <c r="P58" s="283">
        <f t="shared" si="37"/>
        <v>14</v>
      </c>
      <c r="Q58" s="283">
        <f t="shared" si="37"/>
        <v>15</v>
      </c>
      <c r="R58" s="283">
        <f t="shared" si="37"/>
        <v>16</v>
      </c>
      <c r="S58" s="283">
        <f t="shared" si="37"/>
        <v>17</v>
      </c>
      <c r="T58" s="283">
        <f t="shared" si="37"/>
        <v>18</v>
      </c>
      <c r="U58" s="283">
        <f t="shared" si="37"/>
        <v>19</v>
      </c>
      <c r="V58" s="283">
        <f t="shared" si="37"/>
        <v>20</v>
      </c>
      <c r="W58" s="283">
        <f t="shared" si="37"/>
        <v>21</v>
      </c>
      <c r="X58" s="283">
        <f t="shared" si="37"/>
        <v>22</v>
      </c>
      <c r="Y58" s="283">
        <f t="shared" si="37"/>
        <v>23</v>
      </c>
      <c r="Z58" s="283">
        <f t="shared" si="37"/>
        <v>24</v>
      </c>
      <c r="AA58" s="283">
        <f t="shared" si="37"/>
        <v>25</v>
      </c>
      <c r="AB58" s="283">
        <f t="shared" si="37"/>
        <v>26</v>
      </c>
      <c r="AC58" s="283">
        <f t="shared" si="37"/>
        <v>27</v>
      </c>
      <c r="AD58" s="283">
        <f t="shared" si="37"/>
        <v>28</v>
      </c>
      <c r="AE58" s="283">
        <f t="shared" si="37"/>
        <v>29</v>
      </c>
      <c r="AF58" s="283">
        <f t="shared" si="37"/>
        <v>30</v>
      </c>
      <c r="AG58" s="283">
        <f t="shared" si="37"/>
        <v>31</v>
      </c>
      <c r="AH58" s="283">
        <f t="shared" si="37"/>
        <v>32</v>
      </c>
      <c r="AI58" s="283">
        <f t="shared" si="37"/>
        <v>0</v>
      </c>
      <c r="AJ58" s="283">
        <f t="shared" si="37"/>
        <v>0</v>
      </c>
      <c r="AK58" s="283">
        <f t="shared" si="37"/>
        <v>0</v>
      </c>
      <c r="AL58" s="283">
        <f t="shared" si="37"/>
        <v>0</v>
      </c>
    </row>
    <row r="59" spans="2:38" s="280" customFormat="1">
      <c r="B59" s="280">
        <f>MAX(C59:AL59)</f>
        <v>2021</v>
      </c>
      <c r="C59" s="280">
        <f>1990</f>
        <v>1990</v>
      </c>
      <c r="D59" s="280">
        <f>IF(D44=0,0,D43)</f>
        <v>1991</v>
      </c>
      <c r="E59" s="280">
        <f t="shared" ref="E59:AL59" si="38">IF(E44=0,0,E43)</f>
        <v>1992</v>
      </c>
      <c r="F59" s="280">
        <f t="shared" si="38"/>
        <v>1993</v>
      </c>
      <c r="G59" s="280">
        <f t="shared" si="38"/>
        <v>1994</v>
      </c>
      <c r="H59" s="280">
        <f t="shared" si="38"/>
        <v>1995</v>
      </c>
      <c r="I59" s="280">
        <f t="shared" si="38"/>
        <v>1996</v>
      </c>
      <c r="J59" s="280">
        <f t="shared" si="38"/>
        <v>1997</v>
      </c>
      <c r="K59" s="280">
        <f t="shared" si="38"/>
        <v>1998</v>
      </c>
      <c r="L59" s="280">
        <f t="shared" si="38"/>
        <v>1999</v>
      </c>
      <c r="M59" s="280">
        <f t="shared" si="38"/>
        <v>2000</v>
      </c>
      <c r="N59" s="280">
        <f t="shared" si="38"/>
        <v>2001</v>
      </c>
      <c r="O59" s="280">
        <f t="shared" si="38"/>
        <v>2002</v>
      </c>
      <c r="P59" s="280">
        <f t="shared" si="38"/>
        <v>2003</v>
      </c>
      <c r="Q59" s="280">
        <f t="shared" si="38"/>
        <v>2004</v>
      </c>
      <c r="R59" s="280">
        <f t="shared" si="38"/>
        <v>2005</v>
      </c>
      <c r="S59" s="280">
        <f t="shared" si="38"/>
        <v>2006</v>
      </c>
      <c r="T59" s="280">
        <f t="shared" si="38"/>
        <v>2007</v>
      </c>
      <c r="U59" s="280">
        <f t="shared" si="38"/>
        <v>2008</v>
      </c>
      <c r="V59" s="280">
        <f t="shared" si="38"/>
        <v>2009</v>
      </c>
      <c r="W59" s="280">
        <f t="shared" si="38"/>
        <v>2010</v>
      </c>
      <c r="X59" s="280">
        <f t="shared" si="38"/>
        <v>2011</v>
      </c>
      <c r="Y59" s="280">
        <f t="shared" si="38"/>
        <v>2012</v>
      </c>
      <c r="Z59" s="280">
        <f t="shared" si="38"/>
        <v>2013</v>
      </c>
      <c r="AA59" s="280">
        <f t="shared" si="38"/>
        <v>2014</v>
      </c>
      <c r="AB59" s="280">
        <f t="shared" si="38"/>
        <v>2015</v>
      </c>
      <c r="AC59" s="280">
        <f t="shared" si="38"/>
        <v>2016</v>
      </c>
      <c r="AD59" s="280">
        <f t="shared" si="38"/>
        <v>2017</v>
      </c>
      <c r="AE59" s="280">
        <f t="shared" si="38"/>
        <v>2018</v>
      </c>
      <c r="AF59" s="280">
        <f t="shared" si="38"/>
        <v>2019</v>
      </c>
      <c r="AG59" s="280">
        <f t="shared" si="38"/>
        <v>2020</v>
      </c>
      <c r="AH59" s="280">
        <f t="shared" si="38"/>
        <v>2021</v>
      </c>
      <c r="AI59" s="280">
        <f t="shared" si="38"/>
        <v>0</v>
      </c>
      <c r="AJ59" s="280">
        <f t="shared" si="38"/>
        <v>0</v>
      </c>
      <c r="AK59" s="280">
        <f t="shared" si="38"/>
        <v>0</v>
      </c>
      <c r="AL59" s="280">
        <f t="shared" si="38"/>
        <v>0</v>
      </c>
    </row>
    <row r="60" spans="2:38" s="280" customFormat="1">
      <c r="B60" s="280">
        <f>MAX(C60:AL60)</f>
        <v>2021</v>
      </c>
      <c r="C60" s="280">
        <v>1990</v>
      </c>
      <c r="D60" s="280">
        <f>IF(D$50=0,0,D$43)</f>
        <v>1991</v>
      </c>
      <c r="E60" s="280">
        <f t="shared" ref="E60:AL60" si="39">IF(E$50=0,0,E$43)</f>
        <v>1992</v>
      </c>
      <c r="F60" s="280">
        <f t="shared" si="39"/>
        <v>1993</v>
      </c>
      <c r="G60" s="280">
        <f t="shared" si="39"/>
        <v>1994</v>
      </c>
      <c r="H60" s="280">
        <f t="shared" si="39"/>
        <v>1995</v>
      </c>
      <c r="I60" s="280">
        <f t="shared" si="39"/>
        <v>1996</v>
      </c>
      <c r="J60" s="280">
        <f t="shared" si="39"/>
        <v>1997</v>
      </c>
      <c r="K60" s="280">
        <f t="shared" si="39"/>
        <v>1998</v>
      </c>
      <c r="L60" s="280">
        <f t="shared" si="39"/>
        <v>1999</v>
      </c>
      <c r="M60" s="280">
        <f t="shared" si="39"/>
        <v>2000</v>
      </c>
      <c r="N60" s="280">
        <f t="shared" si="39"/>
        <v>2001</v>
      </c>
      <c r="O60" s="280">
        <f t="shared" si="39"/>
        <v>2002</v>
      </c>
      <c r="P60" s="280">
        <f t="shared" si="39"/>
        <v>2003</v>
      </c>
      <c r="Q60" s="280">
        <f t="shared" si="39"/>
        <v>2004</v>
      </c>
      <c r="R60" s="280">
        <f t="shared" si="39"/>
        <v>2005</v>
      </c>
      <c r="S60" s="280">
        <f t="shared" si="39"/>
        <v>2006</v>
      </c>
      <c r="T60" s="280">
        <f t="shared" si="39"/>
        <v>2007</v>
      </c>
      <c r="U60" s="280">
        <f t="shared" si="39"/>
        <v>2008</v>
      </c>
      <c r="V60" s="280">
        <f t="shared" si="39"/>
        <v>2009</v>
      </c>
      <c r="W60" s="280">
        <f t="shared" si="39"/>
        <v>2010</v>
      </c>
      <c r="X60" s="280">
        <f t="shared" si="39"/>
        <v>2011</v>
      </c>
      <c r="Y60" s="280">
        <f t="shared" si="39"/>
        <v>2012</v>
      </c>
      <c r="Z60" s="280">
        <f t="shared" si="39"/>
        <v>2013</v>
      </c>
      <c r="AA60" s="280">
        <f t="shared" si="39"/>
        <v>2014</v>
      </c>
      <c r="AB60" s="280">
        <f t="shared" si="39"/>
        <v>2015</v>
      </c>
      <c r="AC60" s="280">
        <f t="shared" si="39"/>
        <v>2016</v>
      </c>
      <c r="AD60" s="280">
        <f t="shared" si="39"/>
        <v>2017</v>
      </c>
      <c r="AE60" s="280">
        <f t="shared" si="39"/>
        <v>2018</v>
      </c>
      <c r="AF60" s="280">
        <f t="shared" si="39"/>
        <v>2019</v>
      </c>
      <c r="AG60" s="280">
        <f t="shared" si="39"/>
        <v>2020</v>
      </c>
      <c r="AH60" s="280">
        <f t="shared" si="39"/>
        <v>2021</v>
      </c>
      <c r="AI60" s="280">
        <f t="shared" si="39"/>
        <v>0</v>
      </c>
      <c r="AJ60" s="280">
        <f t="shared" si="39"/>
        <v>0</v>
      </c>
      <c r="AK60" s="280">
        <f t="shared" si="39"/>
        <v>0</v>
      </c>
      <c r="AL60" s="280">
        <f t="shared" si="39"/>
        <v>0</v>
      </c>
    </row>
    <row r="61" spans="2:38" ht="14">
      <c r="R61" s="276" t="str">
        <f>"Greenhouse Gas Emissions from Agriculture, 1990-"&amp;B26</f>
        <v>Greenhouse Gas Emissions from Agriculture, 1990-2021</v>
      </c>
      <c r="S61" s="307"/>
      <c r="T61" s="307"/>
      <c r="U61" s="307"/>
      <c r="V61" s="307"/>
      <c r="W61" s="307"/>
      <c r="X61" s="307"/>
      <c r="Y61" s="307"/>
      <c r="Z61" s="307"/>
    </row>
    <row r="62" spans="2:38" ht="14">
      <c r="R62" s="276" t="str">
        <f>"Direct Nitrous Oxide Emissions from Ag Soils, 1990-"&amp;B59</f>
        <v>Direct Nitrous Oxide Emissions from Ag Soils, 1990-2021</v>
      </c>
      <c r="S62" s="307"/>
      <c r="T62" s="307"/>
      <c r="U62" s="307"/>
      <c r="V62" s="307"/>
      <c r="W62" s="307"/>
      <c r="X62" s="307"/>
      <c r="Y62" s="307"/>
      <c r="Z62" s="307"/>
    </row>
    <row r="63" spans="2:38" ht="14">
      <c r="R63" s="276" t="str">
        <f>"Indirect Nitrous Oxide Emissions from Ag Soils, 1990-"&amp;B60</f>
        <v>Indirect Nitrous Oxide Emissions from Ag Soils, 1990-2021</v>
      </c>
      <c r="S63" s="307"/>
      <c r="T63" s="307"/>
      <c r="U63" s="307"/>
      <c r="V63" s="307"/>
      <c r="W63" s="307"/>
      <c r="X63" s="307"/>
      <c r="Y63" s="307"/>
      <c r="Z63" s="307"/>
    </row>
    <row r="64" spans="2:38">
      <c r="R64" s="280"/>
      <c r="S64" s="307"/>
      <c r="T64" s="307"/>
      <c r="U64" s="307"/>
      <c r="V64" s="307"/>
      <c r="W64" s="307"/>
      <c r="X64" s="307"/>
      <c r="Y64" s="307"/>
      <c r="Z64" s="307"/>
    </row>
    <row r="65" spans="18:26">
      <c r="R65" s="280"/>
      <c r="S65" s="307"/>
      <c r="T65" s="307"/>
      <c r="U65" s="307"/>
      <c r="V65" s="307"/>
      <c r="W65" s="307"/>
      <c r="X65" s="307"/>
      <c r="Y65" s="307"/>
      <c r="Z65" s="307"/>
    </row>
    <row r="66" spans="18:26">
      <c r="R66" s="280"/>
      <c r="S66" s="307"/>
      <c r="T66" s="307"/>
      <c r="U66" s="307"/>
      <c r="V66" s="307"/>
      <c r="W66" s="307"/>
      <c r="X66" s="307"/>
      <c r="Y66" s="307"/>
      <c r="Z66" s="307"/>
    </row>
    <row r="67" spans="18:26">
      <c r="R67" s="307"/>
      <c r="S67" s="307"/>
      <c r="T67" s="307"/>
      <c r="U67" s="307"/>
      <c r="V67" s="307"/>
      <c r="W67" s="307"/>
      <c r="X67" s="307"/>
      <c r="Y67" s="307"/>
      <c r="Z67" s="307"/>
    </row>
    <row r="68" spans="18:26">
      <c r="R68" s="307"/>
      <c r="S68" s="307"/>
      <c r="T68" s="307"/>
      <c r="U68" s="307"/>
      <c r="V68" s="307"/>
      <c r="W68" s="307"/>
      <c r="X68" s="307"/>
      <c r="Y68" s="307"/>
      <c r="Z68" s="307"/>
    </row>
    <row r="69" spans="18:26">
      <c r="R69" s="307"/>
      <c r="S69" s="307"/>
      <c r="T69" s="307"/>
      <c r="U69" s="307"/>
      <c r="V69" s="307"/>
      <c r="W69" s="307"/>
      <c r="X69" s="307"/>
      <c r="Y69" s="307"/>
      <c r="Z69" s="307"/>
    </row>
    <row r="70" spans="18:26">
      <c r="R70" s="307"/>
      <c r="S70" s="307"/>
      <c r="T70" s="307"/>
      <c r="U70" s="307"/>
      <c r="V70" s="307"/>
      <c r="W70" s="307"/>
      <c r="X70" s="307"/>
      <c r="Y70" s="307"/>
      <c r="Z70" s="307"/>
    </row>
    <row r="71" spans="18:26">
      <c r="R71" s="307"/>
      <c r="S71" s="307"/>
      <c r="T71" s="307"/>
      <c r="U71" s="307"/>
      <c r="V71" s="307"/>
      <c r="W71" s="307"/>
      <c r="X71" s="307"/>
      <c r="Y71" s="307"/>
      <c r="Z71" s="307"/>
    </row>
    <row r="72" spans="18:26">
      <c r="R72" s="307"/>
      <c r="S72" s="307"/>
      <c r="T72" s="307"/>
      <c r="U72" s="307"/>
      <c r="V72" s="307"/>
      <c r="W72" s="307"/>
      <c r="X72" s="307"/>
      <c r="Y72" s="307"/>
      <c r="Z72" s="307"/>
    </row>
    <row r="73" spans="18:26">
      <c r="R73" s="307"/>
      <c r="S73" s="307"/>
      <c r="T73" s="307"/>
      <c r="U73" s="307"/>
      <c r="V73" s="307"/>
      <c r="W73" s="307"/>
      <c r="X73" s="307"/>
      <c r="Y73" s="307"/>
      <c r="Z73" s="307"/>
    </row>
    <row r="74" spans="18:26">
      <c r="R74" s="307"/>
      <c r="S74" s="307"/>
      <c r="T74" s="307"/>
      <c r="U74" s="307"/>
      <c r="V74" s="307"/>
      <c r="W74" s="307"/>
      <c r="X74" s="307"/>
      <c r="Y74" s="307"/>
      <c r="Z74" s="307"/>
    </row>
    <row r="75" spans="18:26">
      <c r="R75" s="307"/>
      <c r="S75" s="307"/>
      <c r="T75" s="307"/>
      <c r="U75" s="307"/>
      <c r="V75" s="307"/>
      <c r="W75" s="307"/>
      <c r="X75" s="307"/>
      <c r="Y75" s="307"/>
      <c r="Z75" s="307"/>
    </row>
    <row r="76" spans="18:26">
      <c r="R76" s="307"/>
      <c r="S76" s="307"/>
      <c r="T76" s="307"/>
      <c r="U76" s="307"/>
      <c r="V76" s="307"/>
      <c r="W76" s="307"/>
      <c r="X76" s="307"/>
      <c r="Y76" s="307"/>
      <c r="Z76" s="307"/>
    </row>
  </sheetData>
  <sheetProtection algorithmName="SHA-512" hashValue="Y5XTOwg2YJTBm7538ExVRMHCyyeDD+1jaXaWcXzAJJz2iqjTNAA1dJIJmjpwznDsy8c/rpoznCpCUI5sWCrLyQ==" saltValue="b62Ic5lvo4hcsBORt0R9rQ==" spinCount="100000" sheet="1" objects="1" scenarios="1"/>
  <protectedRanges>
    <protectedRange sqref="C13:AL13" name="AES IP"/>
  </protectedRanges>
  <mergeCells count="2">
    <mergeCell ref="B3:M3"/>
    <mergeCell ref="A1:F1"/>
  </mergeCells>
  <phoneticPr fontId="0" type="noConversion"/>
  <pageMargins left="0.75" right="0.75" top="1" bottom="1"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7ebbd5e-17f3-45d8-85f3-9dc77b5bf6f5">
      <UserInfo>
        <DisplayName>O'Malley, Katie</DisplayName>
        <AccountId>28</AccountId>
        <AccountType/>
      </UserInfo>
      <UserInfo>
        <DisplayName>Johnson, Sophie</DisplayName>
        <AccountId>101</AccountId>
        <AccountType/>
      </UserInfo>
      <UserInfo>
        <DisplayName>Winicov, Meryl</DisplayName>
        <AccountId>66</AccountId>
        <AccountType/>
      </UserInfo>
    </SharedWithUsers>
    <lcf76f155ced4ddcb4097134ff3c332f xmlns="305a0028-7312-4fca-a323-09606142e5fe">
      <Terms xmlns="http://schemas.microsoft.com/office/infopath/2007/PartnerControls"/>
    </lcf76f155ced4ddcb4097134ff3c332f>
    <TaxCatchAll xmlns="fa6a9aea-fb0f-4ddd-aff8-712634b7d5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C73C7B88788D348A8DA3CE58F646914" ma:contentTypeVersion="14" ma:contentTypeDescription="Create a new document." ma:contentTypeScope="" ma:versionID="b365a9449cc87de5c7c3a787b3d3228f">
  <xsd:schema xmlns:xsd="http://www.w3.org/2001/XMLSchema" xmlns:xs="http://www.w3.org/2001/XMLSchema" xmlns:p="http://schemas.microsoft.com/office/2006/metadata/properties" xmlns:ns2="305a0028-7312-4fca-a323-09606142e5fe" xmlns:ns3="27ebbd5e-17f3-45d8-85f3-9dc77b5bf6f5" xmlns:ns4="fa6a9aea-fb0f-4ddd-aff8-712634b7d5fe" targetNamespace="http://schemas.microsoft.com/office/2006/metadata/properties" ma:root="true" ma:fieldsID="74efdde50c22162dceb044b985d608f8" ns2:_="" ns3:_="" ns4:_="">
    <xsd:import namespace="305a0028-7312-4fca-a323-09606142e5fe"/>
    <xsd:import namespace="27ebbd5e-17f3-45d8-85f3-9dc77b5bf6f5"/>
    <xsd:import namespace="fa6a9aea-fb0f-4ddd-aff8-712634b7d5f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5a0028-7312-4fca-a323-09606142e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7ebbd5e-17f3-45d8-85f3-9dc77b5bf6f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6a9aea-fb0f-4ddd-aff8-712634b7d5fe"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5e09362d-bb6d-45b5-8b89-865bca06515d}" ma:internalName="TaxCatchAll" ma:showField="CatchAllData" ma:web="27ebbd5e-17f3-45d8-85f3-9dc77b5bf6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3169514-3B01-41A8-9DA9-2D1BA6188513}">
  <ds:schemaRefs>
    <ds:schemaRef ds:uri="http://purl.org/dc/terms/"/>
    <ds:schemaRef ds:uri="http://schemas.microsoft.com/office/2006/metadata/properties"/>
    <ds:schemaRef ds:uri="http://www.w3.org/XML/1998/namespace"/>
    <ds:schemaRef ds:uri="http://purl.org/dc/elements/1.1/"/>
    <ds:schemaRef ds:uri="http://schemas.microsoft.com/office/2006/documentManagement/types"/>
    <ds:schemaRef ds:uri="http://schemas.microsoft.com/office/infopath/2007/PartnerControls"/>
    <ds:schemaRef ds:uri="305a0028-7312-4fca-a323-09606142e5fe"/>
    <ds:schemaRef ds:uri="http://schemas.openxmlformats.org/package/2006/metadata/core-properties"/>
    <ds:schemaRef ds:uri="27ebbd5e-17f3-45d8-85f3-9dc77b5bf6f5"/>
    <ds:schemaRef ds:uri="http://purl.org/dc/dcmitype/"/>
    <ds:schemaRef ds:uri="fa6a9aea-fb0f-4ddd-aff8-712634b7d5fe"/>
  </ds:schemaRefs>
</ds:datastoreItem>
</file>

<file path=customXml/itemProps2.xml><?xml version="1.0" encoding="utf-8"?>
<ds:datastoreItem xmlns:ds="http://schemas.openxmlformats.org/officeDocument/2006/customXml" ds:itemID="{C18E4B92-FB6A-4917-AFEA-1E0B6F9E74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5a0028-7312-4fca-a323-09606142e5fe"/>
    <ds:schemaRef ds:uri="27ebbd5e-17f3-45d8-85f3-9dc77b5bf6f5"/>
    <ds:schemaRef ds:uri="fa6a9aea-fb0f-4ddd-aff8-712634b7d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EEC29-1903-4598-A0B4-A52324A8D64A}">
  <ds:schemaRefs>
    <ds:schemaRef ds:uri="http://schemas.microsoft.com/sharepoint/v3/contenttype/forms"/>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21</vt:i4>
      </vt:variant>
    </vt:vector>
  </HeadingPairs>
  <TitlesOfParts>
    <vt:vector size="40" baseType="lpstr">
      <vt:lpstr>Control</vt:lpstr>
      <vt:lpstr>CO2FFC</vt:lpstr>
      <vt:lpstr>IndirectCO2</vt:lpstr>
      <vt:lpstr>Stationary</vt:lpstr>
      <vt:lpstr>Mobile Combustion</vt:lpstr>
      <vt:lpstr>Coal</vt:lpstr>
      <vt:lpstr>Gas and Oil</vt:lpstr>
      <vt:lpstr>IP</vt:lpstr>
      <vt:lpstr>Agriculture</vt:lpstr>
      <vt:lpstr>Forest Management</vt:lpstr>
      <vt:lpstr>Waste</vt:lpstr>
      <vt:lpstr>Wastewater</vt:lpstr>
      <vt:lpstr>Summary by Gas</vt:lpstr>
      <vt:lpstr>Summary by Sector</vt:lpstr>
      <vt:lpstr>Gas Intensity</vt:lpstr>
      <vt:lpstr>Population</vt:lpstr>
      <vt:lpstr>GSP from BEA</vt:lpstr>
      <vt:lpstr>Factors</vt:lpstr>
      <vt:lpstr>Notes</vt:lpstr>
      <vt:lpstr>C_CO2</vt:lpstr>
      <vt:lpstr>CH4GWP</vt:lpstr>
      <vt:lpstr>CO2_C</vt:lpstr>
      <vt:lpstr>CoalInputRange</vt:lpstr>
      <vt:lpstr>GasPieYear</vt:lpstr>
      <vt:lpstr>LUCFdatarange</vt:lpstr>
      <vt:lpstr>N2OGWP</vt:lpstr>
      <vt:lpstr>OilGasInputRange</vt:lpstr>
      <vt:lpstr>PopGrid</vt:lpstr>
      <vt:lpstr>SectorPieYear</vt:lpstr>
      <vt:lpstr>StateChoice</vt:lpstr>
      <vt:lpstr>StateID</vt:lpstr>
      <vt:lpstr>StateList</vt:lpstr>
      <vt:lpstr>StateName</vt:lpstr>
      <vt:lpstr>UFactor</vt:lpstr>
      <vt:lpstr>Units</vt:lpstr>
      <vt:lpstr>UnitsOption</vt:lpstr>
      <vt:lpstr>VersionDate</vt:lpstr>
      <vt:lpstr>VersionNumber</vt:lpstr>
      <vt:lpstr>WasteInputRange1</vt:lpstr>
      <vt:lpstr>WasteInputRange2</vt:lpstr>
    </vt:vector>
  </TitlesOfParts>
  <Manager/>
  <Company>ICF Consulting,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ICF Consulting</dc:creator>
  <cp:keywords/>
  <dc:description/>
  <cp:lastModifiedBy>Frost, Brad</cp:lastModifiedBy>
  <cp:revision/>
  <cp:lastPrinted>2024-03-01T22:11:45Z</cp:lastPrinted>
  <dcterms:created xsi:type="dcterms:W3CDTF">2002-10-24T14:40:21Z</dcterms:created>
  <dcterms:modified xsi:type="dcterms:W3CDTF">2024-03-02T00:19:35Z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0x0101002C73C7B88788D348A8DA3CE58F646914</vt:lpwstr>
  </property>
  <property fmtid="{D5CDD505-2E9C-101B-9397-08002B2CF9AE}" pid="3" name="MediaServiceImageTags">
    <vt:lpwstr/>
  </property>
</Properties>
</file>